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B20~1\AppData\Local\Temp\Rar$DIa10796.42585\"/>
    </mc:Choice>
  </mc:AlternateContent>
  <bookViews>
    <workbookView xWindow="0" yWindow="0" windowWidth="28800" windowHeight="12135"/>
  </bookViews>
  <sheets>
    <sheet name="решение" sheetId="2" r:id="rId1"/>
  </sheets>
  <definedNames>
    <definedName name="_xlnm._FilterDatabase" localSheetId="0" hidden="1">решение!$A$19:$I$270</definedName>
    <definedName name="_xlnm.Print_Titles" localSheetId="0">решение!$19:$20</definedName>
    <definedName name="_xlnm.Print_Area" localSheetId="0">решение!$A$1:$I$270</definedName>
  </definedNames>
  <calcPr calcId="152511"/>
</workbook>
</file>

<file path=xl/calcChain.xml><?xml version="1.0" encoding="utf-8"?>
<calcChain xmlns="http://schemas.openxmlformats.org/spreadsheetml/2006/main">
  <c r="G236" i="2" l="1"/>
  <c r="G217" i="2"/>
  <c r="G187" i="2"/>
  <c r="G185" i="2"/>
  <c r="G183" i="2"/>
  <c r="G90" i="2"/>
  <c r="G72" i="2"/>
  <c r="G55" i="2"/>
  <c r="G33" i="2"/>
  <c r="H128" i="2" l="1"/>
  <c r="I128" i="2"/>
  <c r="G128" i="2"/>
  <c r="H86" i="2"/>
  <c r="I86" i="2"/>
  <c r="G86" i="2"/>
  <c r="H252" i="2"/>
  <c r="I252" i="2"/>
  <c r="G252" i="2"/>
  <c r="G237" i="2"/>
  <c r="G250" i="2"/>
  <c r="H240" i="2"/>
  <c r="I240" i="2"/>
  <c r="G240" i="2"/>
  <c r="G229" i="2"/>
  <c r="G224" i="2"/>
  <c r="G258" i="2"/>
  <c r="G257" i="2" s="1"/>
  <c r="H255" i="2"/>
  <c r="G255" i="2"/>
  <c r="G254" i="2" s="1"/>
  <c r="H247" i="2"/>
  <c r="I247" i="2"/>
  <c r="G249" i="2"/>
  <c r="G247" i="2" s="1"/>
  <c r="G248" i="2"/>
  <c r="H239" i="2"/>
  <c r="I236" i="2"/>
  <c r="H236" i="2"/>
  <c r="G235" i="2"/>
  <c r="I232" i="2"/>
  <c r="H232" i="2"/>
  <c r="G232" i="2"/>
  <c r="G223" i="2"/>
  <c r="G219" i="2"/>
  <c r="G216" i="2"/>
  <c r="G215" i="2"/>
  <c r="G214" i="2"/>
  <c r="G213" i="2"/>
  <c r="G208" i="2"/>
  <c r="G207" i="2"/>
  <c r="G206" i="2"/>
  <c r="H198" i="2"/>
  <c r="I198" i="2"/>
  <c r="G198" i="2"/>
  <c r="H171" i="2"/>
  <c r="I171" i="2"/>
  <c r="G171" i="2"/>
  <c r="H202" i="2"/>
  <c r="I202" i="2"/>
  <c r="G202" i="2"/>
  <c r="H196" i="2"/>
  <c r="I196" i="2"/>
  <c r="G196" i="2"/>
  <c r="H190" i="2"/>
  <c r="I190" i="2"/>
  <c r="G195" i="2"/>
  <c r="G190" i="2" s="1"/>
  <c r="H180" i="2"/>
  <c r="I180" i="2"/>
  <c r="G184" i="2"/>
  <c r="G182" i="2"/>
  <c r="I174" i="2"/>
  <c r="H174" i="2"/>
  <c r="H169" i="2"/>
  <c r="G169" i="2"/>
  <c r="G168" i="2"/>
  <c r="I270" i="2"/>
  <c r="I268" i="2" s="1"/>
  <c r="H270" i="2"/>
  <c r="H268" i="2" s="1"/>
  <c r="G270" i="2"/>
  <c r="G268" i="2" s="1"/>
  <c r="G163" i="2"/>
  <c r="H159" i="2"/>
  <c r="I159" i="2"/>
  <c r="G159" i="2"/>
  <c r="G156" i="2"/>
  <c r="G153" i="2"/>
  <c r="G152" i="2"/>
  <c r="G149" i="2"/>
  <c r="G146" i="2"/>
  <c r="H140" i="2"/>
  <c r="I140" i="2"/>
  <c r="G140" i="2"/>
  <c r="H137" i="2"/>
  <c r="I137" i="2"/>
  <c r="G137" i="2"/>
  <c r="H133" i="2"/>
  <c r="G133" i="2"/>
  <c r="G130" i="2"/>
  <c r="G124" i="2"/>
  <c r="G123" i="2"/>
  <c r="G119" i="2"/>
  <c r="G96" i="2"/>
  <c r="G95" i="2"/>
  <c r="I89" i="2"/>
  <c r="I85" i="2" s="1"/>
  <c r="G91" i="2"/>
  <c r="H90" i="2"/>
  <c r="H89" i="2" s="1"/>
  <c r="G92" i="2"/>
  <c r="H80" i="2"/>
  <c r="I80" i="2"/>
  <c r="G80" i="2"/>
  <c r="G79" i="2"/>
  <c r="G78" i="2" s="1"/>
  <c r="H78" i="2"/>
  <c r="I78" i="2"/>
  <c r="G77" i="2"/>
  <c r="G75" i="2"/>
  <c r="G74" i="2"/>
  <c r="H72" i="2"/>
  <c r="G58" i="2"/>
  <c r="G56" i="2"/>
  <c r="I55" i="2"/>
  <c r="H55" i="2"/>
  <c r="I54" i="2"/>
  <c r="H54" i="2"/>
  <c r="G54" i="2"/>
  <c r="G42" i="2"/>
  <c r="G40" i="2"/>
  <c r="G39" i="2"/>
  <c r="I33" i="2"/>
  <c r="H33" i="2"/>
  <c r="I32" i="2"/>
  <c r="H32" i="2"/>
  <c r="G32" i="2"/>
  <c r="G31" i="2"/>
  <c r="G29" i="2"/>
  <c r="G27" i="2"/>
  <c r="G26" i="2"/>
  <c r="G25" i="2"/>
  <c r="H85" i="2" l="1"/>
  <c r="G212" i="2"/>
  <c r="G180" i="2"/>
  <c r="G89" i="2"/>
  <c r="G85" i="2" s="1"/>
  <c r="H52" i="2"/>
  <c r="I52" i="2"/>
  <c r="G24" i="2"/>
  <c r="G103" i="2"/>
  <c r="H103" i="2"/>
  <c r="I103" i="2"/>
  <c r="G45" i="2"/>
  <c r="H125" i="2" l="1"/>
  <c r="I125" i="2"/>
  <c r="G125" i="2"/>
  <c r="H64" i="2"/>
  <c r="I64" i="2"/>
  <c r="G64" i="2"/>
  <c r="H62" i="2"/>
  <c r="I62" i="2"/>
  <c r="G62" i="2"/>
  <c r="G162" i="2"/>
  <c r="G158" i="2" s="1"/>
  <c r="I169" i="2" l="1"/>
  <c r="H212" i="2" l="1"/>
  <c r="I212" i="2"/>
  <c r="I99" i="2" l="1"/>
  <c r="H99" i="2"/>
  <c r="G99" i="2"/>
  <c r="I98" i="2"/>
  <c r="H98" i="2"/>
  <c r="G98" i="2"/>
  <c r="I95" i="2"/>
  <c r="H95" i="2"/>
  <c r="G57" i="2"/>
  <c r="G52" i="2" s="1"/>
  <c r="I26" i="2"/>
  <c r="I24" i="2" s="1"/>
  <c r="H26" i="2"/>
  <c r="H24" i="2" s="1"/>
  <c r="H142" i="2" l="1"/>
  <c r="I142" i="2"/>
  <c r="G142" i="2"/>
  <c r="H144" i="2"/>
  <c r="I144" i="2"/>
  <c r="G144" i="2"/>
  <c r="H260" i="2"/>
  <c r="I260" i="2"/>
  <c r="G260" i="2"/>
  <c r="I208" i="2"/>
  <c r="H208" i="2"/>
  <c r="I210" i="2"/>
  <c r="H210" i="2"/>
  <c r="G210" i="2"/>
  <c r="G205" i="2" s="1"/>
  <c r="I206" i="2"/>
  <c r="H206" i="2"/>
  <c r="G117" i="2" l="1"/>
  <c r="H59" i="2"/>
  <c r="I59" i="2"/>
  <c r="G59" i="2"/>
  <c r="I265" i="2" l="1"/>
  <c r="H265" i="2"/>
  <c r="G265" i="2"/>
  <c r="H263" i="2"/>
  <c r="I263" i="2"/>
  <c r="I259" i="2" s="1"/>
  <c r="G263" i="2"/>
  <c r="G226" i="2"/>
  <c r="G222" i="2"/>
  <c r="H257" i="2"/>
  <c r="I257" i="2"/>
  <c r="I254" i="2"/>
  <c r="H254" i="2"/>
  <c r="H250" i="2"/>
  <c r="I250" i="2"/>
  <c r="H245" i="2"/>
  <c r="I245" i="2"/>
  <c r="G245" i="2"/>
  <c r="I237" i="2"/>
  <c r="H237" i="2"/>
  <c r="I235" i="2"/>
  <c r="H235" i="2"/>
  <c r="H233" i="2"/>
  <c r="I233" i="2"/>
  <c r="G233" i="2"/>
  <c r="I231" i="2"/>
  <c r="H231" i="2"/>
  <c r="G231" i="2"/>
  <c r="H229" i="2"/>
  <c r="I229" i="2"/>
  <c r="H226" i="2"/>
  <c r="I226" i="2"/>
  <c r="H224" i="2"/>
  <c r="I224" i="2"/>
  <c r="H222" i="2"/>
  <c r="I222" i="2"/>
  <c r="H200" i="2"/>
  <c r="I200" i="2"/>
  <c r="G200" i="2"/>
  <c r="H188" i="2"/>
  <c r="I188" i="2"/>
  <c r="G188" i="2"/>
  <c r="H186" i="2"/>
  <c r="I186" i="2"/>
  <c r="G186" i="2"/>
  <c r="H178" i="2"/>
  <c r="I178" i="2"/>
  <c r="G178" i="2"/>
  <c r="H175" i="2"/>
  <c r="I175" i="2"/>
  <c r="G175" i="2"/>
  <c r="H173" i="2"/>
  <c r="I173" i="2"/>
  <c r="G173" i="2"/>
  <c r="H167" i="2"/>
  <c r="I167" i="2"/>
  <c r="G167" i="2"/>
  <c r="I267" i="2"/>
  <c r="H267" i="2"/>
  <c r="G267" i="2"/>
  <c r="H162" i="2"/>
  <c r="H158" i="2" s="1"/>
  <c r="I162" i="2"/>
  <c r="I158" i="2" s="1"/>
  <c r="H155" i="2"/>
  <c r="H154" i="2" s="1"/>
  <c r="I155" i="2"/>
  <c r="I154" i="2" s="1"/>
  <c r="G155" i="2"/>
  <c r="G154" i="2" s="1"/>
  <c r="H151" i="2"/>
  <c r="I151" i="2"/>
  <c r="G151" i="2"/>
  <c r="H148" i="2"/>
  <c r="I148" i="2"/>
  <c r="G148" i="2"/>
  <c r="H135" i="2"/>
  <c r="I135" i="2"/>
  <c r="G135" i="2"/>
  <c r="H131" i="2"/>
  <c r="I131" i="2"/>
  <c r="G131" i="2"/>
  <c r="I122" i="2"/>
  <c r="I121" i="2" s="1"/>
  <c r="H122" i="2"/>
  <c r="H121" i="2" s="1"/>
  <c r="G122" i="2"/>
  <c r="G121" i="2" s="1"/>
  <c r="I117" i="2"/>
  <c r="H117" i="2"/>
  <c r="H115" i="2"/>
  <c r="I115" i="2"/>
  <c r="G115" i="2"/>
  <c r="H111" i="2"/>
  <c r="H110" i="2" s="1"/>
  <c r="I111" i="2"/>
  <c r="I110" i="2" s="1"/>
  <c r="G111" i="2"/>
  <c r="G110" i="2" s="1"/>
  <c r="H45" i="2"/>
  <c r="I45" i="2"/>
  <c r="H102" i="2"/>
  <c r="I102" i="2"/>
  <c r="G102" i="2"/>
  <c r="H100" i="2"/>
  <c r="I100" i="2"/>
  <c r="G100" i="2"/>
  <c r="I97" i="2"/>
  <c r="H97" i="2"/>
  <c r="G97" i="2"/>
  <c r="H94" i="2"/>
  <c r="I94" i="2"/>
  <c r="G94" i="2"/>
  <c r="H76" i="2"/>
  <c r="I76" i="2"/>
  <c r="G76" i="2"/>
  <c r="H73" i="2"/>
  <c r="I73" i="2"/>
  <c r="G73" i="2"/>
  <c r="H71" i="2"/>
  <c r="I71" i="2"/>
  <c r="G71" i="2"/>
  <c r="H68" i="2"/>
  <c r="I68" i="2"/>
  <c r="G68" i="2"/>
  <c r="G204" i="2" l="1"/>
  <c r="G166" i="2"/>
  <c r="I166" i="2"/>
  <c r="H166" i="2"/>
  <c r="H127" i="2"/>
  <c r="G67" i="2"/>
  <c r="G127" i="2"/>
  <c r="I127" i="2"/>
  <c r="I67" i="2"/>
  <c r="H67" i="2"/>
  <c r="H259" i="2"/>
  <c r="G259" i="2"/>
  <c r="I205" i="2"/>
  <c r="I204" i="2" s="1"/>
  <c r="H205" i="2"/>
  <c r="H204" i="2" s="1"/>
  <c r="H147" i="2"/>
  <c r="I147" i="2"/>
  <c r="G147" i="2"/>
  <c r="H114" i="2"/>
  <c r="G93" i="2"/>
  <c r="I114" i="2"/>
  <c r="G114" i="2"/>
  <c r="I93" i="2"/>
  <c r="H93" i="2"/>
  <c r="G120" i="2" l="1"/>
  <c r="I165" i="2"/>
  <c r="H120" i="2"/>
  <c r="H165" i="2"/>
  <c r="I120" i="2"/>
  <c r="H23" i="2"/>
  <c r="I23" i="2" l="1"/>
  <c r="I22" i="2" s="1"/>
  <c r="I21" i="2" s="1"/>
  <c r="G23" i="2"/>
  <c r="G22" i="2" s="1"/>
  <c r="H22" i="2"/>
  <c r="H21" i="2" s="1"/>
  <c r="G165" i="2" l="1"/>
  <c r="G21" i="2" s="1"/>
</calcChain>
</file>

<file path=xl/comments1.xml><?xml version="1.0" encoding="utf-8"?>
<comments xmlns="http://schemas.openxmlformats.org/spreadsheetml/2006/main">
  <authors>
    <author>Игорь</author>
  </authors>
  <commentList>
    <comment ref="I47" authorId="0" shapeId="0">
      <text>
        <r>
          <rPr>
            <sz val="9"/>
            <color indexed="81"/>
            <rFont val="Tahoma"/>
            <family val="2"/>
            <charset val="204"/>
          </rPr>
          <t xml:space="preserve">65721,4 - нераспределенный остаток
</t>
        </r>
      </text>
    </comment>
  </commentList>
</comments>
</file>

<file path=xl/sharedStrings.xml><?xml version="1.0" encoding="utf-8"?>
<sst xmlns="http://schemas.openxmlformats.org/spreadsheetml/2006/main" count="1049" uniqueCount="536">
  <si>
    <t>100</t>
  </si>
  <si>
    <t>200</t>
  </si>
  <si>
    <t>600</t>
  </si>
  <si>
    <t>800</t>
  </si>
  <si>
    <t>400</t>
  </si>
  <si>
    <t>300</t>
  </si>
  <si>
    <t>700</t>
  </si>
  <si>
    <t>500</t>
  </si>
  <si>
    <t>07</t>
  </si>
  <si>
    <t>01</t>
  </si>
  <si>
    <t>02</t>
  </si>
  <si>
    <t>03</t>
  </si>
  <si>
    <t>09</t>
  </si>
  <si>
    <t>11</t>
  </si>
  <si>
    <t>10</t>
  </si>
  <si>
    <t>06</t>
  </si>
  <si>
    <t>13</t>
  </si>
  <si>
    <t>04</t>
  </si>
  <si>
    <t>14</t>
  </si>
  <si>
    <t>08</t>
  </si>
  <si>
    <t>12</t>
  </si>
  <si>
    <t>05</t>
  </si>
  <si>
    <t>Рз</t>
  </si>
  <si>
    <t>ПР</t>
  </si>
  <si>
    <t>Подпрограмма "Развитие дошкольного, общего и дополнительного образования"</t>
  </si>
  <si>
    <t>Основное мероприятие "Создание условий и обеспечение качества предоставления государственных и бюджетных услуг учреждениям системы образования"</t>
  </si>
  <si>
    <t>Основное мероприятие "Функционирование системы общего образования в режиме функционирования и введения ФГОС"</t>
  </si>
  <si>
    <t>Основное мероприятие "Мероприятия в области дополнительного образования и воспитания детей"</t>
  </si>
  <si>
    <t>Основное мероприятие "Расходы на создание объектов муниципальной собственности социального производственного комплекса, в том числе объектов общегражданского назначения"</t>
  </si>
  <si>
    <t>Подпрограмма "Развитие молодежной политики и оздоровление детей"</t>
  </si>
  <si>
    <t>Основное мероприятие "Трудоустройство детей школьного возраста в каникулярное время"</t>
  </si>
  <si>
    <t>Основное мероприятие "Организация работы по развитию системы информирования молодежи о потенциальных возможностях саморазвития и мониторинга молодежной политики"</t>
  </si>
  <si>
    <t>Основное мероприятие "Организация отдыха и оздоровления детей в лагерях дневного пребывания"</t>
  </si>
  <si>
    <t>Основное мероприятие "Организация отдыха детей в каникулярное время"</t>
  </si>
  <si>
    <t>Подпрограмма "Развитие физической культуры и спорта"</t>
  </si>
  <si>
    <t>Основное мероприятие "Создание условий для сохранения и укрепления здоровья населения Бобровского муниципального района путем развития инфраструктуры спорта, популяризации детско-юношеского спорта и массовой физической культуры и спорта и приобщения различных слоев общества к регулярным занятиям физической культурой и спортом"</t>
  </si>
  <si>
    <t>Подпрограмма "Финансовое обеспечение реализации муниципальной программы"</t>
  </si>
  <si>
    <t>Основное мероприятие "Расходы на обеспечение деятельности органов местного самоуправления"</t>
  </si>
  <si>
    <t>Основное мероприятие "Финансовое обеспечение выполнения других расходных обязательств"</t>
  </si>
  <si>
    <t>Основное мероприятие "Осуществление отдельных государственных полномочий Воронежской области по созданию и осуществлению деятельности по опеке и попечительству"</t>
  </si>
  <si>
    <t>Подпрограмма "Социализация детей-сирот и детей, нуждающихся в особой защите государства"</t>
  </si>
  <si>
    <t>Основное мероприятие "Обеспечение своевременных выплат на содержание подопечных и приемных детей, вознаграждений опекунам (приемным родителям), увеличение доли детей сирот и детей, оставшихся без попечения родителей, воспитывающихся в семьях"</t>
  </si>
  <si>
    <t>Основное мероприятие "Поддержка одаренных детей"</t>
  </si>
  <si>
    <t>Основное мероприятие "Противодействие незаконному обороту наркотических средств, психотропных веществ и их прекурсоров"</t>
  </si>
  <si>
    <t>Основное мероприятие "Противодействие терроризму и экстремистской деятельности, защита потенциальных объектов террористических посягательств"</t>
  </si>
  <si>
    <t>Подпрограмма "Развитие дополнительного образования"</t>
  </si>
  <si>
    <t>Основное мероприятие "Развитие дополнительного образования в сфере культуры"</t>
  </si>
  <si>
    <t>Подпрограмма "Развитие досуговой и библиотечной деятельности"</t>
  </si>
  <si>
    <t>Основное мероприятие "Развитие библиотечной деятельности"</t>
  </si>
  <si>
    <t>Основное мероприятие "Развитие досуговой деятельности"</t>
  </si>
  <si>
    <t>Основное мероприятие "Комплектование книжных фондов"</t>
  </si>
  <si>
    <t>Подпрограмма "Финансовое обеспечение других вопросов в области культуры"</t>
  </si>
  <si>
    <t>Основное мероприятие "Финансовое обеспечение деятельности исполнительных органов власти, главных распорядителей средств бюджета Бобровского муниципального района в области культуры"</t>
  </si>
  <si>
    <t>Подпрограмма "Развитие туризма в Бобровском районе Воронежской области"</t>
  </si>
  <si>
    <t>Основное мероприятие "Мероприятия в области туризма"</t>
  </si>
  <si>
    <t>Основное мероприятие "Ремонт автомобильных дорог"</t>
  </si>
  <si>
    <t>Подпрограмма "Управление муниципальными финансами"</t>
  </si>
  <si>
    <t>Основное мероприятие "Резервный фонд администрации Бобровского муниципального района"</t>
  </si>
  <si>
    <t>Основное мероприятие "Процентные платежи по муниципальному долгу"</t>
  </si>
  <si>
    <t>Основное мероприятие "Дотация на выравнивание бюджетной обеспеченности поселений"</t>
  </si>
  <si>
    <t>Основное мероприятие "Межбюджетные трансферты на поддержку мер по обеспечению сбалансированности поселений"</t>
  </si>
  <si>
    <t>Основное мероприятие "Выполнение других расходных обязательств"</t>
  </si>
  <si>
    <t>Основное мероприятие "Зарезервированные средства, связанные с особенностями исполнения бюджетов"</t>
  </si>
  <si>
    <t>Основное мероприятие "Межбюджетные трансферты поселениям на финансирование мероприятий, не относящихся к капитальным вложениям в объекты муниципальной собственности"</t>
  </si>
  <si>
    <t>Основное мероприятие "Межбюджетные трансферты на осуществление муниципального земельного контроля"</t>
  </si>
  <si>
    <t>Подпрограмма "Прочие мероприятия по реализации муниципальной программы"</t>
  </si>
  <si>
    <t>Основное мероприятие "Расходы на обеспечение деятельности (оказания услуг) муниципальных казенных учреждений"</t>
  </si>
  <si>
    <t>Основное мероприятие "Расходы на обеспечение деятельности главы муниципального района"</t>
  </si>
  <si>
    <t>Основное мероприятие "Создание и организация деятельности комиссий по делам несовершеннолетних и защите их прав"</t>
  </si>
  <si>
    <t>Основное мероприятие "Осуществление полномочий по сбору информации от поселений, входящих в муниципальный район, необходимых для ведения регистра муниципальных нормативно-правовых актов"</t>
  </si>
  <si>
    <t>Основное мероприятие "Расходы на осуществление полномочий по созданию и организации деятельности административных комиссий"</t>
  </si>
  <si>
    <t>Основное мероприятие "Обеспечение жильем молодых семей"</t>
  </si>
  <si>
    <t>Основное мероприятие "Доплаты к пенсиям муниципальных служащих Бобровского муниципального района"</t>
  </si>
  <si>
    <t>Основное мероприятие "Оказание социальной помощи отдельным категориям граждан"</t>
  </si>
  <si>
    <t>Основное мероприятие "Субсидии общественным организациям"</t>
  </si>
  <si>
    <t>Основное мероприятие "Доплата к пенсии руководителям сельского хозяйства"</t>
  </si>
  <si>
    <t>Основное мероприятие "Мероприятия в области градостроительной деятельности"</t>
  </si>
  <si>
    <t>Основное мероприятие "Расходы по отлову и содержанию безнадзорных животных"</t>
  </si>
  <si>
    <t>Основное мероприятие "Создание условий для обеспечения населения транспортным обслуживанием на территории Бобровского муниципального района"</t>
  </si>
  <si>
    <t>Основное мероприятие "Социальная поддержка граждан, имеющих почетное звание "Почетный гражданин Бобровского муниципального района"</t>
  </si>
  <si>
    <t>Подпрограмма "Создание условий для обеспечения качественными услугами ЖКХ населения Бобровского муниципального района"</t>
  </si>
  <si>
    <t>Основное мероприятие "Обеспечение уличного освещения поселений Бобровского муниципального района"</t>
  </si>
  <si>
    <t>Основное мероприятие "Финансовая поддержка субъектов малого и среднего предпринимательства"</t>
  </si>
  <si>
    <t>№ п/п</t>
  </si>
  <si>
    <t>Наименование</t>
  </si>
  <si>
    <t>ЦСР</t>
  </si>
  <si>
    <t>ВР</t>
  </si>
  <si>
    <t>2025 год</t>
  </si>
  <si>
    <t>1.1</t>
  </si>
  <si>
    <t>1.1.1</t>
  </si>
  <si>
    <t>1.1.2</t>
  </si>
  <si>
    <t>1.1.3</t>
  </si>
  <si>
    <t>1.1.4</t>
  </si>
  <si>
    <t>1.1.5</t>
  </si>
  <si>
    <t>1.2</t>
  </si>
  <si>
    <t>1.3</t>
  </si>
  <si>
    <t>1.2.1</t>
  </si>
  <si>
    <t>1.2.2</t>
  </si>
  <si>
    <t>1.2.3</t>
  </si>
  <si>
    <t>1.2.4</t>
  </si>
  <si>
    <t>1.2.5</t>
  </si>
  <si>
    <t>1.3.1</t>
  </si>
  <si>
    <t>1.4</t>
  </si>
  <si>
    <t>1.4.1</t>
  </si>
  <si>
    <t>1.4.2</t>
  </si>
  <si>
    <t>1.4.3</t>
  </si>
  <si>
    <t>1.5</t>
  </si>
  <si>
    <t>1.5.1</t>
  </si>
  <si>
    <t>2</t>
  </si>
  <si>
    <t>2.1.1</t>
  </si>
  <si>
    <t>3</t>
  </si>
  <si>
    <t>3.1.1</t>
  </si>
  <si>
    <t>3.1.2</t>
  </si>
  <si>
    <t>4</t>
  </si>
  <si>
    <t>4.1</t>
  </si>
  <si>
    <t>4.1.1</t>
  </si>
  <si>
    <t>4.2</t>
  </si>
  <si>
    <t>4.2.1</t>
  </si>
  <si>
    <t>4.2.2</t>
  </si>
  <si>
    <t>4.2.3</t>
  </si>
  <si>
    <t>4.3</t>
  </si>
  <si>
    <t>4.2.4</t>
  </si>
  <si>
    <t>4.3.1</t>
  </si>
  <si>
    <t>4.3.2</t>
  </si>
  <si>
    <t>4.4</t>
  </si>
  <si>
    <t>4.4.1</t>
  </si>
  <si>
    <t>5</t>
  </si>
  <si>
    <t>5.1.1</t>
  </si>
  <si>
    <t>7</t>
  </si>
  <si>
    <t>7.1.1</t>
  </si>
  <si>
    <t>ВСЕГО</t>
  </si>
  <si>
    <t>1</t>
  </si>
  <si>
    <t>02 0 00 00000</t>
  </si>
  <si>
    <t>02 1 00 00000</t>
  </si>
  <si>
    <t>02 1 01 00000</t>
  </si>
  <si>
    <t>02 1 01 80590</t>
  </si>
  <si>
    <t>02 1 01 80600</t>
  </si>
  <si>
    <t>02 1 01 L3040</t>
  </si>
  <si>
    <t>02 1 01 S8130</t>
  </si>
  <si>
    <t>02 1 01 S8940</t>
  </si>
  <si>
    <t>02 1 02 00000</t>
  </si>
  <si>
    <t>02 1 02 78120</t>
  </si>
  <si>
    <t>02 1 02 78290</t>
  </si>
  <si>
    <t>02 1 03 00000</t>
  </si>
  <si>
    <t>02 1 03 80610</t>
  </si>
  <si>
    <t>02 1 04 00000</t>
  </si>
  <si>
    <t>02 2 00 00000</t>
  </si>
  <si>
    <t>02 2 03 00000</t>
  </si>
  <si>
    <t>02 2 03 81400</t>
  </si>
  <si>
    <t>02 2 04 00000</t>
  </si>
  <si>
    <t>02 2 04 80310</t>
  </si>
  <si>
    <t>02 2 05 00000</t>
  </si>
  <si>
    <t>02 2 05 88320</t>
  </si>
  <si>
    <t>02 2 05 S8320</t>
  </si>
  <si>
    <t>02 2 08 00000</t>
  </si>
  <si>
    <t>02 2 08 S8410</t>
  </si>
  <si>
    <t>02 3 00 00000</t>
  </si>
  <si>
    <t>02 3 05 00000</t>
  </si>
  <si>
    <t>02 3 05 80410</t>
  </si>
  <si>
    <t>02 3 05 S8790</t>
  </si>
  <si>
    <t>02 3 05 S8954</t>
  </si>
  <si>
    <t>02 4 00 00000</t>
  </si>
  <si>
    <t>02 4 01 00000</t>
  </si>
  <si>
    <t>02 4 01 82010</t>
  </si>
  <si>
    <t>02 4 02 00000</t>
  </si>
  <si>
    <t>02 4 02 00590</t>
  </si>
  <si>
    <t>02 4 03 00000</t>
  </si>
  <si>
    <t>02 5 00 00000</t>
  </si>
  <si>
    <t>02 5 01 00000</t>
  </si>
  <si>
    <t>02 5 01 78150</t>
  </si>
  <si>
    <t>02 5 01 80580</t>
  </si>
  <si>
    <t>03 0 00 00000</t>
  </si>
  <si>
    <t>03 0 01 00000</t>
  </si>
  <si>
    <t>03 0 01 80230</t>
  </si>
  <si>
    <t>08 0 00 00000</t>
  </si>
  <si>
    <t>08 0 04 00000</t>
  </si>
  <si>
    <t>08 0 04 81440</t>
  </si>
  <si>
    <t>08 0 05 00000</t>
  </si>
  <si>
    <t>08 0 05 81460</t>
  </si>
  <si>
    <t>11 0 00 00000</t>
  </si>
  <si>
    <t>11 1 00 00000</t>
  </si>
  <si>
    <t>11 1 01 00000</t>
  </si>
  <si>
    <t>11 1 01 00590</t>
  </si>
  <si>
    <t>11 2 00 00000</t>
  </si>
  <si>
    <t>11 2 01 00000</t>
  </si>
  <si>
    <t>11 2 01 80660</t>
  </si>
  <si>
    <t>11 2 02 00000</t>
  </si>
  <si>
    <t>11 2 02 80650</t>
  </si>
  <si>
    <t>11 2 03 00000</t>
  </si>
  <si>
    <t>11 2 03 L5190</t>
  </si>
  <si>
    <t>11 3 00 00000</t>
  </si>
  <si>
    <t>11 3 01 00000</t>
  </si>
  <si>
    <t>11 3 01 82010</t>
  </si>
  <si>
    <t>11 3 02 00000</t>
  </si>
  <si>
    <t>11 4 00 00000</t>
  </si>
  <si>
    <t>11 4 01 00000</t>
  </si>
  <si>
    <t>11 4 01 80840</t>
  </si>
  <si>
    <t>24 0 00 00000</t>
  </si>
  <si>
    <t>24 0 02 00000</t>
  </si>
  <si>
    <t>24 0 02 81290</t>
  </si>
  <si>
    <t>39 0 00 00000</t>
  </si>
  <si>
    <t>39 1 00 00000</t>
  </si>
  <si>
    <t>39 1 01 00000</t>
  </si>
  <si>
    <t>39 1 01 82010</t>
  </si>
  <si>
    <t>39 1 02 00000</t>
  </si>
  <si>
    <t>39 1 02 80540</t>
  </si>
  <si>
    <t>39 1 03 00000</t>
  </si>
  <si>
    <t>39 1 03 87880</t>
  </si>
  <si>
    <t>39 1 04 00000</t>
  </si>
  <si>
    <t>39 1 04 78050</t>
  </si>
  <si>
    <t>39 1 04 88050</t>
  </si>
  <si>
    <t>39 1 05 00000</t>
  </si>
  <si>
    <t>39 1 05 88030</t>
  </si>
  <si>
    <t>39 1 08 00000</t>
  </si>
  <si>
    <t>39 1 08 79180</t>
  </si>
  <si>
    <t>39 1 09 00000</t>
  </si>
  <si>
    <t>39 1 09 80010</t>
  </si>
  <si>
    <t>39 1 11 00000</t>
  </si>
  <si>
    <t>39 1 11 81290</t>
  </si>
  <si>
    <t>39 1 11 S8460</t>
  </si>
  <si>
    <t>39 1 14 00000</t>
  </si>
  <si>
    <t>39 1 14 80592</t>
  </si>
  <si>
    <t>39 2 00 00000</t>
  </si>
  <si>
    <t>39 2 01 00000</t>
  </si>
  <si>
    <t>39 2 01 00590</t>
  </si>
  <si>
    <t>39 2 03 00000</t>
  </si>
  <si>
    <t>39 2 03 82010</t>
  </si>
  <si>
    <t>39 2 05 00000</t>
  </si>
  <si>
    <t>39 2 05 82020</t>
  </si>
  <si>
    <t>39 2 06 00000</t>
  </si>
  <si>
    <t>39 2 07 00000</t>
  </si>
  <si>
    <t>39 2 07 78090</t>
  </si>
  <si>
    <t>39 2 08 00000</t>
  </si>
  <si>
    <t>39 2 08 78470</t>
  </si>
  <si>
    <t>39 2 10 00000</t>
  </si>
  <si>
    <t>39 2 10 L4970</t>
  </si>
  <si>
    <t>39 2 11 00000</t>
  </si>
  <si>
    <t>39 2 11 80470</t>
  </si>
  <si>
    <t>39 2 12 00000</t>
  </si>
  <si>
    <t>39 2 12 80620</t>
  </si>
  <si>
    <t>39 2 15 00000</t>
  </si>
  <si>
    <t>39 2 15 81140</t>
  </si>
  <si>
    <t>39 2 18 00000</t>
  </si>
  <si>
    <t>39 2 18 80630</t>
  </si>
  <si>
    <t>39 2 19 00000</t>
  </si>
  <si>
    <t>39 2 19 80860</t>
  </si>
  <si>
    <t>39 2 20 00000</t>
  </si>
  <si>
    <t>39 2 20 78450</t>
  </si>
  <si>
    <t>39 2 22 00000</t>
  </si>
  <si>
    <t>39 2 22 81260</t>
  </si>
  <si>
    <t>39 2 22 S9260</t>
  </si>
  <si>
    <t>39 2 29 00000</t>
  </si>
  <si>
    <t>39 2 29 80520</t>
  </si>
  <si>
    <t>39 3 00 00000</t>
  </si>
  <si>
    <t>39 3 04 00000</t>
  </si>
  <si>
    <t>39 3 04 S8670</t>
  </si>
  <si>
    <t>57 0 00 00000</t>
  </si>
  <si>
    <t>57 0 01 00000</t>
  </si>
  <si>
    <t>57 0 01 80380</t>
  </si>
  <si>
    <t>Расходы на обеспечение деятельности (оказания услуг) дошкольных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</si>
  <si>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дошкольных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</si>
  <si>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дошкольных учреждений (Иные бюджетные ассигнования)</t>
  </si>
  <si>
    <t>Расходы на обеспечение деятельности (оказания услуг) школ-детских садов, школ начальных, средних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</si>
  <si>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школ-детских садов, школ начальных, средних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</si>
  <si>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школ-детских садов, школ начальных, средних учреждений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</si>
  <si>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школ-детских садов, школ начальных, средних учреждений (Иные бюджетные ассигнования)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</si>
  <si>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(Закупка товаров, работ и услуг для обеспечения государственных (муниципальных) нужд)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</si>
  <si>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(Предоставление субсидий бюджетным, автономным учреждениям и иным некоммерческим организациям)</t>
  </si>
  <si>
    <t>Обеспечение учащихся общеобразовательных учреждений молочной продукцией (Закупка товаров, работ и услуг для обеспечения государственных (муниципальных) нужд)</t>
  </si>
  <si>
    <t>Обеспечение учащихся общеобразовательных учреждений молочной продукцией (Предоставление субсидий бюджетным, автономным учреждениям и иным некоммерческим организациям)</t>
  </si>
  <si>
    <t>Расходы на материально-техническое оснащение муниципальных общеобразовательных организаций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</si>
  <si>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</si>
  <si>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</si>
  <si>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дошкольного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</si>
  <si>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государственных гарантий реализации прав на получение общедоступного дошкольного образования (Закупка товаров, работ и услуг для обеспечения государственных (муниципальных) нужд)</t>
  </si>
  <si>
    <t>Обеспечение государственных гарантий реализации прав на получение общедоступного дошкольного образования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</si>
  <si>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</si>
  <si>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по внешкольной работе с детьми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</si>
  <si>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по внешкольной работе с детьми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</si>
  <si>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учреждений по внешкольной работе с детьми (Иные бюджетные ассигнования)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</si>
  <si>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</si>
  <si>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</si>
  <si>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Мероприятия по молодежной политике (Закупка товаров, работ и услуг для обеспечения государственных (муниципальных) нужд)</t>
  </si>
  <si>
    <t>Расходы на организацию отдыха и оздоровления детей и молодежи в каникулярное время (Закупка товаров, работ и услуг для обеспечения государственных (муниципальных) нужд)</t>
  </si>
  <si>
    <t>Организация отдыха детей в каникулярное время (Социальное обеспечение и иные выплаты населению)</t>
  </si>
  <si>
    <t>Проведение мероприятий по обеспечению деятельности советников директора по воспитанию и взаимодействию детскими общественными объединениями в общеобразовательных организациях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</si>
  <si>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Проведение мероприятий по обеспечению деятельности советников директора по воспитанию и взаимодействию детскими общественными объединениями в общеобразовательных организациях (Предоставление субсидий бюджетным, автономным учреждениям и иным некоммерческим организациям)</t>
  </si>
  <si>
    <t>Мероприятия в области физической культуры и спорта (Закупка товаров, работ и услуг для обеспечения государственных (муниципальных) нужд)</t>
  </si>
  <si>
    <t>Мероприятия по созданию условий для развития физической культуры и массового спорта (Закупка товаров, работ и услуг для обеспечения государственных (муниципальных) нужд)</t>
  </si>
  <si>
    <t>Мероприятия по адаптации приоритетных спортивных объектов, востребованных для занятий адаптивной физической культурой и спортом инвалидов с нарушениями опорно-двигательного аппарата, зрения и слуха (Закупка товаров, работ и услуг для обеспечения государственных (муниципальных) нужд)</t>
  </si>
  <si>
    <t>Расходы на обеспечение деятельности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</si>
  <si>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</si>
  <si>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муниципальных услуг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</si>
  <si>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услуг (Закупка товаров, работ и услуг для обеспечения государственных (муниципальных) нужд)</t>
  </si>
  <si>
    <t>Осуществление полномочий по организации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</si>
  <si>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(Социальное обеспечение и иные выплаты населению)</t>
  </si>
  <si>
    <t>Социальная поддержка приемных семей (Социальное обеспечение и иные выплаты населению)</t>
  </si>
  <si>
    <t>Поддержка одаренных детей (Закупка товаров, работ и услуг для обеспечения государственных (муниципальных) нужд)</t>
  </si>
  <si>
    <t>Поддержка одаренных детей (Социальное обеспечение и иные выплаты населению)</t>
  </si>
  <si>
    <t>Противодействие незаконному обороту наркотических средств, психотропных веществ и их прекурсоров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</si>
  <si>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(Закупка товаров, работ и услуг для обеспечения государственных (муниципальных) нужд)</t>
  </si>
  <si>
    <t>Противодействие терроризму и экстремистской деятельности, защита потенциальных объектов террористических посягательств (Предоставление субсидий бюджетным, автономным учреждениям и иным некоммерческим организациям)</t>
  </si>
  <si>
    <t>Расходы на обеспечение деятельности (оказания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</si>
  <si>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</si>
  <si>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учреждний библиотечной системы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</si>
  <si>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учреждний библиотечной системы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</si>
  <si>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</si>
  <si>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досуга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</si>
  <si>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учреждений досуга (Иные бюджетные ассигнования)</t>
  </si>
  <si>
    <t>Поддержка отрасли культуры (Комплектование книжных фондов) (Закупка товаров, работ и услуг для обеспечения государственных (муниципальных) нужд)</t>
  </si>
  <si>
    <t>Расходы на обеспечение деятельности (оказания услуг) муниципальных учреждений (прочий персонал)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</si>
  <si>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муниципальных учреждений (бухгалтерия) (Закупка товаров, работ и услуг для обеспечения государственных (муниципальных) нужд)</t>
  </si>
  <si>
    <t>Расходы на мероприятия по развитию туризма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</si>
  <si>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мероприятия по развитию туризма (Закупка товаров, работ и услуг для обеспечения государственных (муниципальных) нужд)</t>
  </si>
  <si>
    <t>Развитие сети автомобильных дорог общего пользования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</si>
  <si>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</si>
  <si>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Обеспечение комплексного развития сельских территорий (Капитальные вложения в объекты государственной (муниципальной) собственности)</t>
  </si>
  <si>
    <t>Расходы на обеспечение деятельности органов местного самоуправления (Социальное обеспечение и иные выплаты населению)</t>
  </si>
  <si>
    <t>Финансовое обеспечение непредвиденных расходов, а также проведение аварийно-восстановительных работ и иных мероприятий, связанных с предупреждением и ликвидацией последствий стихийных бедствий и других чрезвычайных ситуаций (Иные бюджетные ассигнования)</t>
  </si>
  <si>
    <t>Процентные платежи по муниципальному долгу (Обслуживание государственного (муниципального) долга)</t>
  </si>
  <si>
    <t>Выравнивание бюджетной обеспеченности поселений из областного бюджета (Межбюджетные трансферты)</t>
  </si>
  <si>
    <t>Выравнивание обеспеченности поселений из бюджета муниципального района (Межбюджетные трансферты)</t>
  </si>
  <si>
    <t>Поддержка мер по обеспечению сбалансированности поселений (Межбюджетные трансферты)</t>
  </si>
  <si>
    <t>Иные межбюджетные трансферты бюджетам муниципальных районов Воронежской области на приобретение служебного автотранспорта органам местного самоуправления поселений Воронежской области (Межбюджетные трансферты)</t>
  </si>
  <si>
    <t>Зарезервированные средства, связанные с особенностями исполнения бюджета (Иные бюджетные ассигнования)</t>
  </si>
  <si>
    <t>Межбюджетные трансферты на развитие сети автомобильных дорог общего пользования (Межбюджетные трансферты)</t>
  </si>
  <si>
    <t>Обеспечение комплексного развития сельских территорий (Межбюджетные трансферты)</t>
  </si>
  <si>
    <t>Мероприятия по развитию градостроительной деятельности (Межбюджетные трансферты)</t>
  </si>
  <si>
    <t>Межбюджетные трансферты на осуществление муниципального земельного контроля (Межбюджетные трансферты)</t>
  </si>
  <si>
    <t>Расходы на обеспечение деятельности (оказания услуг) муниципальных учреждений (Социальное обеспечение и иные выплаты населению)</t>
  </si>
  <si>
    <t>Расходы на обеспечение деятельности (оказания услуг) муниципальных учреждений (Иные бюджетные ассигнования)</t>
  </si>
  <si>
    <t>Расходы на обеспечение деятельности органов местного самоуправления (Иные бюджетные ассигнования)</t>
  </si>
  <si>
    <t>Расходы на обеспечение деятельности главы муниципального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</si>
  <si>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</si>
  <si>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</si>
  <si>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(Закупка товаров, работ и услуг для обеспечения государственных (муниципальных) нужд)</t>
  </si>
  <si>
    <t>Расходы на осуществление полномочий по созданию и организации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</si>
  <si>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реализацию мероприятий по обеспечению жильем молодых семей (Социальное обеспечение и иные выплаты населению)</t>
  </si>
  <si>
    <t>Доплаты к пенсиям муниципальных служащих муниципального района (Социальное обеспечение и иные выплаты населению)</t>
  </si>
  <si>
    <t>Оказание социальной помощи отдельным категориям граждан (Социальное обеспечение и иные выплаты населению)</t>
  </si>
  <si>
    <t>Субсидии некоммерческим организациям (Предоставление субсидий бюджетным, автономным учреждениям и иным некоммерческим организациям)</t>
  </si>
  <si>
    <t>Доплаты к пенсии руководителям сельского хозяйства (Социальное обеспечение и иные выплаты населению)</t>
  </si>
  <si>
    <t>Мероприятия в области градостроительной деятельности (Закупка товаров, работ и услуг для обеспечения государственных (муниципальных) нужд)</t>
  </si>
  <si>
    <t>Осуществление отдельных государственных полномочий в области обращения с животными без владельцев (Закупка товаров, работ и услуг для обеспечения государственных (муниципальных) нужд)</t>
  </si>
  <si>
    <t>Осуществление регулярных перевозок пассажиров и багажа автомобильным транспортом по регулируемым тарифам по внутримуниципальным маршрутам регулярных перевозок на территории Бобровского муниципального района Воронежской области 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</si>
  <si>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 (Закупка товаров, работ и услуг для обеспечения государственных (муниципальных) нужд)</t>
  </si>
  <si>
    <t>Социальная поддержка граждан, имеющих почетное звание "Почетный гражданин Бобровского муниципального района" (Социальное обеспечение и иные выплаты населению)</t>
  </si>
  <si>
    <t>Расходы на обеспечение уличного освещения (Закупка товаров, работ и услуг для обеспечения государственных (муниципальных) нужд)</t>
  </si>
  <si>
    <t>Поддержка муниципальных программ развития малого и среднего предпринимательства (Иные бюджетные ассигнования)</t>
  </si>
  <si>
    <t>Расходы на обеспечение деятельности (оказания услуг) дошкольных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</si>
  <si>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№ 7</t>
  </si>
  <si>
    <t>к решению Совета народных депутатов</t>
  </si>
  <si>
    <t>Бобровского муниципального района</t>
  </si>
  <si>
    <t>Воронежской области</t>
  </si>
  <si>
    <t>Распределение бюджетных ассигнований  по целевым статьям</t>
  </si>
  <si>
    <t>(муниципальным программам Бобровского муниципального района Воронежской области), группам видов расходов, разделам,</t>
  </si>
  <si>
    <t>Сумма (тыс. рублей)</t>
  </si>
  <si>
    <t>02 1 01 S8300</t>
  </si>
  <si>
    <t>Мероприятия по развитию сети дошкольных образовательных организаций Воронежской области (Закупка товаров, работ и услуг для обеспечения государственных (муниципальных) нужд)</t>
  </si>
  <si>
    <t>02 1 01 S8810</t>
  </si>
  <si>
    <t>Расходы на мероприятия по развитию сети общеобразовательных организаций Воронежской области (Закупка товаров, работ и услуг для обеспечения государственных (муниципальных) нужд)</t>
  </si>
  <si>
    <t>Расходы на мероприятия по развитию сети общеобразовательных организаций Воронежской области (Предоставление субсидий бюджетным, автономным учреждениям и иным некоммерческим организациям)</t>
  </si>
  <si>
    <t>Обеспечение государственных гарантий реализации прав на получение общедоступного и бесплатного общего образования, а также дополнительного образования детей в общеобразовательных учреждениях (Закупка товаров, работ и услуг для обеспечения государственных (муниципальных) нужд)</t>
  </si>
  <si>
    <t>02 1 03 S8420</t>
  </si>
  <si>
    <t>Развитие сети организаций дополнительного образования детей Воронежской области (Закупка товаров, работ и услуг для обеспечения государственных (муниципальных) нужд)</t>
  </si>
  <si>
    <t>02 1 04 S9720</t>
  </si>
  <si>
    <t>Капитальные вложения в объекты образования (Капитальные вложения в объекты государственной (муниципальной) собственности)</t>
  </si>
  <si>
    <t>Реализация мероприятий по трудоустройству детей школьного возраста в каникулярное время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</si>
  <si>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Реализация мероприятий по трудоустройству детей школьного возраста в каникулярное время (Предоставление субсидий бюджетным, автономным учреждениям и иным некоммерческим организациям)</t>
  </si>
  <si>
    <t>02 4 03 79430</t>
  </si>
  <si>
    <t>11 3 02 00590</t>
  </si>
  <si>
    <t>11 2 05 00000</t>
  </si>
  <si>
    <t>Основное мероприятие "Государственная поддержка муниципальных учреждений культуры"</t>
  </si>
  <si>
    <t>Обеспечение развития и укрепления материально-технической базы муниципальных домов культуры с численностью населения до 50 тысяч человек (Закупка товаров, работ и услуг для обеспечения государственных (муниципальных) нужд)</t>
  </si>
  <si>
    <t>11 2 05 L4670</t>
  </si>
  <si>
    <t>39 1 10 00000</t>
  </si>
  <si>
    <t>Основное мероприятие "Межбюджетные трансферты поселениям на финансирование объектов капитального строительства"</t>
  </si>
  <si>
    <t>39 2 06 78080</t>
  </si>
  <si>
    <t>39 2 17 00000</t>
  </si>
  <si>
    <t>39 2 17 80200</t>
  </si>
  <si>
    <t>Выполнение других расходных обязательств (Закупка товаров, работ и услуг для обеспечения государственных (муниципальных) нужд)</t>
  </si>
  <si>
    <t>39 3 02 00000</t>
  </si>
  <si>
    <t>Основное мероприятие "Обеспечение выполнения других расходных обязательств по развитию жилищно-коммунального хозяйства и благоустройства"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</si>
  <si>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(Закупка товаров, работ и услуг для обеспечения государственных (муниципальных) нужд)</t>
  </si>
  <si>
    <t>39 3 02 S9120</t>
  </si>
  <si>
    <t>39 3 05 00000</t>
  </si>
  <si>
    <t>Основное мероприятие "Благоустройство территорий поселений Бобровского муниципального района"</t>
  </si>
  <si>
    <t>39 3 05 80200</t>
  </si>
  <si>
    <t>2026 год</t>
  </si>
  <si>
    <t>подразделам классификации расходов бюджета муниципального района на 2025 год и на плановый период 2026 и 2027 годов</t>
  </si>
  <si>
    <t>02 1 04 L5760</t>
  </si>
  <si>
    <t>39 1 10 L5760</t>
  </si>
  <si>
    <t>Содержание и обслуживание мест массового отдыха населения (Межбюджетные трансферты)</t>
  </si>
  <si>
    <t>39 1 11 78520</t>
  </si>
  <si>
    <t>Расходы на обеспечение комплексного развития сельских территорий (Закупка товаров, работ и услуг для обеспечения государственных (муниципальных) нужд)</t>
  </si>
  <si>
    <t>39 3 02 L5760</t>
  </si>
  <si>
    <t>11 2 09 00000</t>
  </si>
  <si>
    <t>Основное мероприятие "Развитие музейной деятельности"</t>
  </si>
  <si>
    <t>11 2 09 80670</t>
  </si>
  <si>
    <t>Расходы на обеспечение деятельности (оказания услуг) учреждений - музеи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</si>
  <si>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(оказания услуг) учреждений - музеи  (Закупка товаров, работ и услуг для обеспечения государственных (муниципальных) нужд)</t>
  </si>
  <si>
    <t>4.2.6</t>
  </si>
  <si>
    <t>11 2 07 00000</t>
  </si>
  <si>
    <t>11 2 07 L5760</t>
  </si>
  <si>
    <t>2027 год</t>
  </si>
  <si>
    <t>Организация бесплатного питания обучающихся из многодетных семей в муниципальных общеобразовательных организациях (Закупка товаров, работ и услуг для обеспечения государственных (муниципальных) нужд)</t>
  </si>
  <si>
    <t>02 1 01 S9970</t>
  </si>
  <si>
    <t>Муниципальная программа "Развитие образования, физической культуры и спорта Бобровского муниципального района Воронежской области на 2022-2027 годы"</t>
  </si>
  <si>
    <t>Муниципальная программа "Одаренные дети на 2022-2027 годы"</t>
  </si>
  <si>
    <t>Муниципальная программа "Профилактика правонарушений в Бобровском муниципальном районе" на 2022-2027 годы</t>
  </si>
  <si>
    <t>Муниципальная программа Бобровского муниципального района Воронежской области "Развитие культуры" на 2022-2027 годы</t>
  </si>
  <si>
    <t>Муниципальная программа Бобровского муниципального района "Дорожное хозяйство Бобровского муниципального района на 2022-2027 годы"</t>
  </si>
  <si>
    <t>Муниципальная программа "Муниципальное управление и гражданское общество на 2022-2027 годы" Бобровского муниципального района Воронежской области</t>
  </si>
  <si>
    <t>Муниципальная программа "Создание условий для развития малого и среднего предпринимательства" на 2022-2027 годы</t>
  </si>
  <si>
    <t>02 2 Ю6 00000</t>
  </si>
  <si>
    <t>Региональный проект «Педагоги и наставники»</t>
  </si>
  <si>
    <t>02 2 Ю6 51790</t>
  </si>
  <si>
    <t>24 0 02 SД130</t>
  </si>
  <si>
    <t>5.1.2</t>
  </si>
  <si>
    <t>24 0 01 00000</t>
  </si>
  <si>
    <t>Основное мероприятие "Строительство автомобильных дорог"</t>
  </si>
  <si>
    <t>24 0 01 L3720</t>
  </si>
  <si>
    <t>Строительство и реконструкция автомобильных дорог, ведущих к ближайшим общественно значимым объектам производства и переработки сельскохозяйственной продукции (Капитальные вложения в объекты государственной (муниципальной) собственности)</t>
  </si>
  <si>
    <t>1.1.6</t>
  </si>
  <si>
    <t>Региональный проект "Все лучшее детям"</t>
  </si>
  <si>
    <t>02 1 Ю4 00000</t>
  </si>
  <si>
    <t>02 1 Ю4 57501</t>
  </si>
  <si>
    <t>Реализация мероприятий по модернизации школьных систем образования (однолетние объекты) (Закупка товаров, работ и услуг для обеспечения государственных (муниципальных) нужд)</t>
  </si>
  <si>
    <t>Региональный проект "Педагоги и наставники"</t>
  </si>
  <si>
    <t>02 1 Ю6 00000</t>
  </si>
  <si>
    <t>02 1 Ю6 53030</t>
  </si>
  <si>
    <t>4.1.2</t>
  </si>
  <si>
    <t>Региональный проект "Семейные ценности и инфраструктура культуры"</t>
  </si>
  <si>
    <t>11 1 Я5 00000</t>
  </si>
  <si>
    <t>11 1 Я5 55190</t>
  </si>
  <si>
    <t>Государственная поддержка отрасли культуры (Закупка товаров, работ и услуг для обеспечения государственных (муниципальных) нужд)</t>
  </si>
  <si>
    <t>02 2 Ю1 51160</t>
  </si>
  <si>
    <t>02 2 Ю6 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</si>
  <si>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</si>
  <si>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(Предоставление субсидий бюджетным, автономным учреждениям и иным некоммерческим организациям)</t>
  </si>
  <si>
    <t>6</t>
  </si>
  <si>
    <t>6.1.1</t>
  </si>
  <si>
    <t>6.1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</si>
  <si>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</si>
  <si>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</si>
  <si>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</si>
  <si>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</si>
  <si>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</si>
  <si>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</si>
  <si>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</si>
  <si>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</si>
  <si>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6.1.10</t>
  </si>
  <si>
    <t>6.2</t>
  </si>
  <si>
    <t>6.2.1</t>
  </si>
  <si>
    <t>6.2.2</t>
  </si>
  <si>
    <t>6.2.3</t>
  </si>
  <si>
    <t>6.2.7</t>
  </si>
  <si>
    <t>6.2.6</t>
  </si>
  <si>
    <t>6.2.4</t>
  </si>
  <si>
    <t>6.2.5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</si>
  <si>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</si>
  <si>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</si>
  <si>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</si>
  <si>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</si>
  <si>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</si>
  <si>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</si>
  <si>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</si>
  <si>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</si>
  <si>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</si>
  <si>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6.3</t>
  </si>
  <si>
    <t>6.3.2</t>
  </si>
  <si>
    <t>6.3.3</t>
  </si>
  <si>
    <t>Расходы на материально-техническое оснащение муниципальных общеобразовательных организаций (Предоставление субсидий бюджетным, автономным учреждениям и иным некоммерческим организациям)</t>
  </si>
  <si>
    <t>Организация бесплатного питания обучающихся из многодетных семей в муниципальных общеобразовательных организациях (Предоставление субсидий бюджетным, автономным учреждениям и иным некоммерческим организациям)</t>
  </si>
  <si>
    <t>Реализация программы комплексного развития молодежной политики в субъектах Российской Федерации "Регион для молодых" (Предоставление субсидий бюджетным, автономным учреждениям и иным некоммерческим организациям)</t>
  </si>
  <si>
    <t>Расходы на компенсацию, выплачиваемую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общеобразовательную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</si>
  <si>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Осуществление отдельных государственных полномочий Воронежской области по обеспечению выплат приемной семье на содержание подопечных детей 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</si>
  <si>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выплаты вознаграждения, причитающегося приемному родителю (Социальное обеспечение и иные выплаты населению)</t>
  </si>
  <si>
    <t>Осуществление отдельных государственных полномочий Воронежской области по обеспечению выплат семьям опекунов на содержание подопечных детей (Социальное обеспечение и иные выплаты населению)</t>
  </si>
  <si>
    <t>02 5 01 78541</t>
  </si>
  <si>
    <t>02 5 01 78542</t>
  </si>
  <si>
    <t>02 5 01 78543</t>
  </si>
  <si>
    <t>6.3.1</t>
  </si>
  <si>
    <t>от "26" декабря 2024 г.  № 19</t>
  </si>
  <si>
    <t>Приложение № 6</t>
  </si>
  <si>
    <t>02 1 01 70100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</si>
  <si>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(Предоставление субсидий бюджетным, автономным учреждениям и иным некоммерческим организациям)</t>
  </si>
  <si>
    <t>02 1 03 70100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</si>
  <si>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 (Закупка товаров, работ и услуг для обеспечения государственных (муниципальных) нужд)</t>
  </si>
  <si>
    <t>Региональный проект "Россия - страна возможностей"</t>
  </si>
  <si>
    <t>02 2 Ю1 00000</t>
  </si>
  <si>
    <t>11 2 05 L5190</t>
  </si>
  <si>
    <t>Поддержка отрасли культуры (Государственная поддержка лучших сельских учреждений культуры) (Закупка товаров, работ и услуг для обеспечения государственных (муниципальных) нужд)</t>
  </si>
  <si>
    <t>Основное мероприятие "Государственная поддержка лучших работников муниципальных учреждений культуры, находящихся на территории сельских поселений"</t>
  </si>
  <si>
    <t>11 2 06 00000</t>
  </si>
  <si>
    <t>11 2 06 L5190</t>
  </si>
  <si>
    <t>Поддержка отрасли культуры (Государственная поддержка лучших работников сельских учреждений культуры) (Социальное обеспечение и иные выплаты населению)</t>
  </si>
  <si>
    <t>4.2.5</t>
  </si>
  <si>
    <t>4.2.7</t>
  </si>
  <si>
    <t>24 0 01 81290</t>
  </si>
  <si>
    <t>Развитие сети автомобильных дорог общего пользования (Иные бюджетные ассигнования)</t>
  </si>
  <si>
    <t>Поддержка муниципальных программ развития малого и среднего предпринимательства (Закупка товаров, работ и услуг для обеспечения государственных (муниципальных) нужд)</t>
  </si>
  <si>
    <t>39 1 08 80200</t>
  </si>
  <si>
    <t>Выполнение других расходных обязательств (Межбюджетные трансферты)</t>
  </si>
  <si>
    <t>Софинансирование расходов по реализации мероприятий по ремонту объектов теплоэнергетического хозяйства муниципальных образований, находящихся в муниципальной собственности, к очередному зимнему отопительному периоду (Межбюджетные трансферты)</t>
  </si>
  <si>
    <t>39 1 11 S9120</t>
  </si>
  <si>
    <t>39 1 11 80200</t>
  </si>
  <si>
    <t>Основное мероприятие "Обеспечение экологической безопасности"</t>
  </si>
  <si>
    <t>39 1 12 00000</t>
  </si>
  <si>
    <t>39 1 12 88500</t>
  </si>
  <si>
    <t>Организация работ по ликвидации накопленного вреда окружающей среде (Межбюджетные трансферты)</t>
  </si>
  <si>
    <t>Основное мероприятие "Межбюджетные трансферты для финансирования приоритетных социально значимых расходов местных бюджетов"</t>
  </si>
  <si>
    <t>39 1 16 00000</t>
  </si>
  <si>
    <t>39 1 16 80200</t>
  </si>
  <si>
    <t>Основное мероприятие "Расходы на обеспечение уличного освещения"</t>
  </si>
  <si>
    <t>39 1 13 00000</t>
  </si>
  <si>
    <t>39 1 13 S8670</t>
  </si>
  <si>
    <t>Межбюджетные трасферты на обеспечение уличного освещения (Межбюджетные трансферты)</t>
  </si>
  <si>
    <t>39 2 17 70100</t>
  </si>
  <si>
    <t>Мероприятия в области градостроительной деятельности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</si>
  <si>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Выполнение других расходных обязательств (Иные бюджетные ассигнования)</t>
  </si>
  <si>
    <t>39 2 15 70100</t>
  </si>
  <si>
    <t>Основное мероприятие "Мероприятия в сфере защиты населения от чрезвычайных ситуаций и пожаров и по обеспечению мобилизационной готовности экономики"</t>
  </si>
  <si>
    <t>39 2 21 00000</t>
  </si>
  <si>
    <t>Мероприятия в сфере защиты населения от чрезвычайных ситуаций и пожаров (Закупка товаров, работ и услуг для обеспечения государственных (муниципальных) нужд)</t>
  </si>
  <si>
    <t>39 2 21 81430</t>
  </si>
  <si>
    <t>Основное мероприятие "Развитие физической культуры и спорта в муниципальных спортивных школах"</t>
  </si>
  <si>
    <t>02 3 01 00000</t>
  </si>
  <si>
    <t>02 3 01 70100</t>
  </si>
  <si>
    <t>1.2.6</t>
  </si>
  <si>
    <t>1.3.2</t>
  </si>
  <si>
    <t>6.1.11</t>
  </si>
  <si>
    <t>6.1.12</t>
  </si>
  <si>
    <t>6.1.13</t>
  </si>
  <si>
    <t>6.2.17</t>
  </si>
  <si>
    <t>от "30" апреля 2025 г.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</si>
</sst>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3.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65">
    <xf numFmtId="0" fontId="0" fillId="0" borderId="0" xfId="0"/>
    <xf numFmtId="0" fontId="8" fillId="5" borderId="4" xfId="0" applyFont="1" applyFill="1" applyBorder="1" applyAlignment="1" applyProtection="1">
      <alignment horizontal="center" vertical="center"/>
      <protection locked="0"/>
    </xf>
    <xf numFmtId="0" fontId="7" fillId="5" borderId="4" xfId="5" applyNumberFormat="1" applyFont="1" applyFill="1" applyBorder="1" applyAlignment="1" applyProtection="1">
      <alignment horizontal="center" vertical="center" wrapText="1"/>
    </xf>
    <xf numFmtId="49" fontId="5" fillId="5" borderId="4" xfId="0" applyNumberFormat="1" applyFont="1" applyFill="1" applyBorder="1" applyAlignment="1" applyProtection="1">
      <alignment horizontal="center" vertical="center"/>
      <protection locked="0"/>
    </xf>
    <xf numFmtId="49" fontId="8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5" applyNumberFormat="1" applyFont="1" applyFill="1" applyBorder="1" applyAlignment="1" applyProtection="1">
      <alignment horizontal="left" vertical="center" wrapText="1"/>
    </xf>
    <xf numFmtId="0" fontId="6" fillId="5" borderId="1" xfId="2" applyNumberFormat="1" applyFont="1" applyFill="1" applyProtection="1"/>
    <xf numFmtId="0" fontId="5" fillId="5" borderId="0" xfId="0" applyFont="1" applyFill="1" applyProtection="1">
      <protection locked="0"/>
    </xf>
    <xf numFmtId="0" fontId="6" fillId="5" borderId="1" xfId="4" applyNumberFormat="1" applyFont="1" applyFill="1" applyAlignment="1" applyProtection="1"/>
    <xf numFmtId="0" fontId="6" fillId="5" borderId="1" xfId="4" applyFont="1" applyFill="1" applyAlignment="1"/>
    <xf numFmtId="0" fontId="6" fillId="5" borderId="4" xfId="6" applyNumberFormat="1" applyFont="1" applyFill="1" applyBorder="1" applyAlignment="1" applyProtection="1">
      <alignment horizontal="justify" wrapText="1"/>
    </xf>
    <xf numFmtId="0" fontId="7" fillId="5" borderId="4" xfId="6" applyNumberFormat="1" applyFont="1" applyFill="1" applyBorder="1" applyAlignment="1" applyProtection="1">
      <alignment horizontal="justify" wrapText="1"/>
    </xf>
    <xf numFmtId="0" fontId="7" fillId="5" borderId="4" xfId="6" applyNumberFormat="1" applyFont="1" applyFill="1" applyBorder="1" applyAlignment="1" applyProtection="1">
      <alignment horizontal="justify" vertical="center" wrapText="1"/>
    </xf>
    <xf numFmtId="49" fontId="8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5" applyNumberFormat="1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7" fillId="5" borderId="1" xfId="2" applyNumberFormat="1" applyFont="1" applyFill="1" applyProtection="1"/>
    <xf numFmtId="0" fontId="10" fillId="5" borderId="1" xfId="4" applyFont="1" applyFill="1" applyAlignment="1">
      <alignment horizontal="right"/>
    </xf>
    <xf numFmtId="49" fontId="6" fillId="5" borderId="2" xfId="7" applyNumberFormat="1" applyFont="1" applyFill="1" applyAlignment="1" applyProtection="1">
      <alignment horizontal="center" vertical="top" wrapText="1" shrinkToFit="1"/>
    </xf>
    <xf numFmtId="0" fontId="6" fillId="5" borderId="2" xfId="6" applyNumberFormat="1" applyFont="1" applyFill="1" applyAlignment="1" applyProtection="1">
      <alignment horizontal="justify" vertical="top" wrapText="1"/>
    </xf>
    <xf numFmtId="0" fontId="5" fillId="5" borderId="2" xfId="6" applyNumberFormat="1" applyFont="1" applyFill="1" applyAlignment="1" applyProtection="1">
      <alignment horizontal="justify" vertical="top" wrapText="1"/>
    </xf>
    <xf numFmtId="0" fontId="7" fillId="5" borderId="2" xfId="6" applyNumberFormat="1" applyFont="1" applyFill="1" applyAlignment="1" applyProtection="1">
      <alignment horizontal="justify" vertical="top" wrapText="1"/>
    </xf>
    <xf numFmtId="49" fontId="7" fillId="5" borderId="2" xfId="7" applyNumberFormat="1" applyFont="1" applyFill="1" applyAlignment="1" applyProtection="1">
      <alignment horizontal="center" vertical="top" wrapText="1" shrinkToFit="1"/>
    </xf>
    <xf numFmtId="0" fontId="8" fillId="5" borderId="4" xfId="0" applyFont="1" applyFill="1" applyBorder="1" applyAlignment="1" applyProtection="1">
      <alignment horizontal="center" vertical="top" wrapText="1"/>
      <protection locked="0"/>
    </xf>
    <xf numFmtId="1" fontId="7" fillId="5" borderId="4" xfId="7" applyNumberFormat="1" applyFont="1" applyFill="1" applyBorder="1" applyAlignment="1" applyProtection="1">
      <alignment horizontal="center" vertical="top" shrinkToFit="1"/>
    </xf>
    <xf numFmtId="49" fontId="7" fillId="5" borderId="4" xfId="7" applyNumberFormat="1" applyFont="1" applyFill="1" applyBorder="1" applyAlignment="1" applyProtection="1">
      <alignment horizontal="center" vertical="top" shrinkToFit="1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1" fontId="6" fillId="5" borderId="4" xfId="7" applyNumberFormat="1" applyFont="1" applyFill="1" applyBorder="1" applyAlignment="1" applyProtection="1">
      <alignment horizontal="center" vertical="top" shrinkToFit="1"/>
    </xf>
    <xf numFmtId="49" fontId="6" fillId="5" borderId="4" xfId="7" applyNumberFormat="1" applyFont="1" applyFill="1" applyBorder="1" applyAlignment="1" applyProtection="1">
      <alignment horizontal="center" vertical="top" shrinkToFit="1"/>
    </xf>
    <xf numFmtId="164" fontId="6" fillId="5" borderId="2" xfId="8" applyNumberFormat="1" applyFont="1" applyFill="1" applyAlignment="1" applyProtection="1">
      <alignment horizontal="right" vertical="top" shrinkToFit="1"/>
    </xf>
    <xf numFmtId="0" fontId="5" fillId="5" borderId="4" xfId="0" applyFont="1" applyFill="1" applyBorder="1" applyAlignment="1" applyProtection="1">
      <alignment horizontal="right" vertical="top"/>
      <protection locked="0"/>
    </xf>
    <xf numFmtId="0" fontId="6" fillId="5" borderId="4" xfId="5" applyNumberFormat="1" applyFont="1" applyFill="1" applyBorder="1" applyAlignment="1" applyProtection="1">
      <alignment horizontal="right" vertical="top" wrapText="1"/>
    </xf>
    <xf numFmtId="164" fontId="7" fillId="5" borderId="4" xfId="8" applyNumberFormat="1" applyFont="1" applyFill="1" applyBorder="1" applyAlignment="1" applyProtection="1">
      <alignment horizontal="right" vertical="top" shrinkToFit="1"/>
    </xf>
    <xf numFmtId="164" fontId="6" fillId="5" borderId="4" xfId="8" applyNumberFormat="1" applyFont="1" applyFill="1" applyBorder="1" applyAlignment="1" applyProtection="1">
      <alignment horizontal="right" vertical="top" shrinkToFit="1"/>
    </xf>
    <xf numFmtId="1" fontId="7" fillId="5" borderId="4" xfId="7" applyNumberFormat="1" applyFont="1" applyFill="1" applyBorder="1" applyAlignment="1" applyProtection="1">
      <alignment horizontal="center" vertical="top" wrapText="1" shrinkToFit="1"/>
    </xf>
    <xf numFmtId="0" fontId="6" fillId="5" borderId="2" xfId="6" applyNumberFormat="1" applyFont="1" applyFill="1" applyAlignment="1" applyProtection="1">
      <alignment horizontal="justify" wrapText="1"/>
    </xf>
    <xf numFmtId="164" fontId="7" fillId="5" borderId="2" xfId="8" applyNumberFormat="1" applyFont="1" applyFill="1" applyAlignment="1" applyProtection="1">
      <alignment horizontal="right" vertical="top" shrinkToFit="1"/>
    </xf>
    <xf numFmtId="1" fontId="6" fillId="5" borderId="2" xfId="7" applyNumberFormat="1" applyFont="1" applyFill="1" applyAlignment="1" applyProtection="1">
      <alignment horizontal="center" vertical="top" wrapText="1" shrinkToFit="1"/>
    </xf>
    <xf numFmtId="49" fontId="5" fillId="5" borderId="2" xfId="7" applyNumberFormat="1" applyFont="1" applyFill="1" applyAlignment="1" applyProtection="1">
      <alignment horizontal="center" vertical="top" wrapText="1" shrinkToFit="1"/>
    </xf>
    <xf numFmtId="164" fontId="6" fillId="5" borderId="2" xfId="8" applyNumberFormat="1" applyFont="1" applyFill="1" applyProtection="1">
      <alignment horizontal="right" vertical="top" shrinkToFit="1"/>
    </xf>
    <xf numFmtId="165" fontId="5" fillId="5" borderId="0" xfId="0" applyNumberFormat="1" applyFont="1" applyFill="1" applyProtection="1">
      <protection locked="0"/>
    </xf>
    <xf numFmtId="164" fontId="7" fillId="5" borderId="4" xfId="5" applyNumberFormat="1" applyFont="1" applyFill="1" applyBorder="1" applyAlignment="1" applyProtection="1">
      <alignment horizontal="right" vertical="top" wrapText="1"/>
    </xf>
    <xf numFmtId="164" fontId="5" fillId="5" borderId="2" xfId="8" applyNumberFormat="1" applyFont="1" applyFill="1" applyProtection="1">
      <alignment horizontal="right" vertical="top" shrinkToFit="1"/>
    </xf>
    <xf numFmtId="164" fontId="7" fillId="5" borderId="2" xfId="8" applyNumberFormat="1" applyFont="1" applyFill="1" applyProtection="1">
      <alignment horizontal="right" vertical="top" shrinkToFit="1"/>
    </xf>
    <xf numFmtId="1" fontId="5" fillId="5" borderId="2" xfId="7" applyNumberFormat="1" applyFont="1" applyFill="1" applyAlignment="1" applyProtection="1">
      <alignment horizontal="center" vertical="top" wrapText="1" shrinkToFit="1"/>
    </xf>
    <xf numFmtId="49" fontId="8" fillId="5" borderId="2" xfId="7" applyNumberFormat="1" applyFont="1" applyFill="1" applyAlignment="1" applyProtection="1">
      <alignment horizontal="center" vertical="top" wrapText="1" shrinkToFit="1"/>
    </xf>
    <xf numFmtId="0" fontId="8" fillId="5" borderId="2" xfId="6" applyNumberFormat="1" applyFont="1" applyFill="1" applyAlignment="1" applyProtection="1">
      <alignment horizontal="justify" vertical="top" wrapText="1"/>
    </xf>
    <xf numFmtId="164" fontId="8" fillId="5" borderId="2" xfId="8" applyNumberFormat="1" applyFont="1" applyFill="1" applyProtection="1">
      <alignment horizontal="right" vertical="top" shrinkToFit="1"/>
    </xf>
    <xf numFmtId="164" fontId="6" fillId="5" borderId="2" xfId="8" applyNumberFormat="1" applyFont="1" applyFill="1" applyAlignment="1" applyProtection="1">
      <alignment horizontal="right" vertical="top" wrapText="1" shrinkToFit="1"/>
    </xf>
    <xf numFmtId="49" fontId="5" fillId="5" borderId="4" xfId="7" applyNumberFormat="1" applyFont="1" applyFill="1" applyBorder="1" applyAlignment="1" applyProtection="1">
      <alignment horizontal="center" vertical="top" wrapText="1" shrinkToFit="1"/>
    </xf>
    <xf numFmtId="164" fontId="5" fillId="5" borderId="4" xfId="0" applyNumberFormat="1" applyFont="1" applyFill="1" applyBorder="1" applyAlignment="1" applyProtection="1">
      <alignment vertical="top"/>
      <protection locked="0"/>
    </xf>
    <xf numFmtId="1" fontId="7" fillId="5" borderId="2" xfId="7" applyNumberFormat="1" applyFont="1" applyFill="1" applyAlignment="1" applyProtection="1">
      <alignment horizontal="center" vertical="top" wrapText="1" shrinkToFit="1"/>
    </xf>
    <xf numFmtId="0" fontId="5" fillId="5" borderId="4" xfId="0" applyFont="1" applyFill="1" applyBorder="1" applyAlignment="1" applyProtection="1">
      <alignment horizontal="justify" vertical="top" wrapText="1"/>
      <protection locked="0"/>
    </xf>
    <xf numFmtId="0" fontId="8" fillId="5" borderId="4" xfId="0" applyFont="1" applyFill="1" applyBorder="1" applyAlignment="1" applyProtection="1">
      <alignment horizontal="justify" vertical="top" wrapText="1"/>
      <protection locked="0"/>
    </xf>
    <xf numFmtId="1" fontId="8" fillId="5" borderId="2" xfId="7" applyNumberFormat="1" applyFont="1" applyFill="1" applyAlignment="1" applyProtection="1">
      <alignment horizontal="center" vertical="top" wrapText="1" shrinkToFit="1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0" fontId="6" fillId="5" borderId="1" xfId="1" applyNumberFormat="1" applyFont="1" applyFill="1" applyProtection="1">
      <alignment wrapText="1"/>
    </xf>
    <xf numFmtId="0" fontId="6" fillId="5" borderId="1" xfId="1" applyFont="1" applyFill="1">
      <alignment wrapText="1"/>
    </xf>
    <xf numFmtId="164" fontId="5" fillId="5" borderId="0" xfId="0" applyNumberFormat="1" applyFont="1" applyFill="1" applyProtection="1">
      <protection locked="0"/>
    </xf>
    <xf numFmtId="49" fontId="5" fillId="5" borderId="0" xfId="0" applyNumberFormat="1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0" fontId="6" fillId="5" borderId="1" xfId="1" applyNumberFormat="1" applyFont="1" applyFill="1" applyProtection="1">
      <alignment wrapText="1"/>
    </xf>
    <xf numFmtId="0" fontId="6" fillId="5" borderId="1" xfId="1" applyFont="1" applyFill="1">
      <alignment wrapText="1"/>
    </xf>
    <xf numFmtId="49" fontId="8" fillId="5" borderId="0" xfId="0" applyNumberFormat="1" applyFont="1" applyFill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vertical="center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70"/>
  <sheetViews>
    <sheetView showGridLines="0" tabSelected="1" view="pageBreakPreview" zoomScale="50" zoomScaleNormal="60" zoomScaleSheetLayoutView="50" workbookViewId="0">
      <selection activeCell="G5" sqref="G5"/>
    </sheetView>
  </sheetViews>
  <sheetFormatPr defaultRowHeight="18.75" outlineLevelRow="6" x14ac:dyDescent="0.3"/>
  <cols>
    <col min="1" max="1" width="9.5703125" style="55" customWidth="1"/>
    <col min="2" max="2" width="59.7109375" style="7" customWidth="1"/>
    <col min="3" max="3" width="13.7109375" style="7" customWidth="1"/>
    <col min="4" max="4" width="7.7109375" style="7" customWidth="1"/>
    <col min="5" max="5" width="8.28515625" style="7" customWidth="1"/>
    <col min="6" max="6" width="8.42578125" style="7" customWidth="1"/>
    <col min="7" max="7" width="19.42578125" style="7" customWidth="1"/>
    <col min="8" max="8" width="17.140625" style="7" customWidth="1"/>
    <col min="9" max="9" width="17.85546875" style="7" customWidth="1"/>
    <col min="10" max="10" width="9.140625" style="7" customWidth="1"/>
    <col min="11" max="11" width="14.42578125" style="7" bestFit="1" customWidth="1"/>
    <col min="12" max="12" width="22.5703125" style="7" customWidth="1"/>
    <col min="13" max="13" width="9.7109375" style="7" bestFit="1" customWidth="1"/>
    <col min="14" max="14" width="9.140625" style="7"/>
    <col min="15" max="15" width="9.7109375" style="7" bestFit="1" customWidth="1"/>
    <col min="16" max="16384" width="9.140625" style="7"/>
  </cols>
  <sheetData>
    <row r="1" spans="1:10" x14ac:dyDescent="0.3">
      <c r="G1" s="16" t="s">
        <v>484</v>
      </c>
    </row>
    <row r="2" spans="1:10" x14ac:dyDescent="0.3">
      <c r="G2" s="16" t="s">
        <v>351</v>
      </c>
    </row>
    <row r="3" spans="1:10" x14ac:dyDescent="0.3">
      <c r="G3" s="16" t="s">
        <v>352</v>
      </c>
    </row>
    <row r="4" spans="1:10" x14ac:dyDescent="0.3">
      <c r="G4" s="16" t="s">
        <v>353</v>
      </c>
    </row>
    <row r="5" spans="1:10" x14ac:dyDescent="0.3">
      <c r="G5" s="64" t="s">
        <v>535</v>
      </c>
    </row>
    <row r="7" spans="1:10" x14ac:dyDescent="0.3">
      <c r="B7" s="61"/>
      <c r="C7" s="62"/>
      <c r="D7" s="62"/>
      <c r="E7" s="57"/>
      <c r="F7" s="57"/>
      <c r="G7" s="16" t="s">
        <v>350</v>
      </c>
      <c r="H7" s="6"/>
      <c r="I7" s="6"/>
      <c r="J7" s="6"/>
    </row>
    <row r="8" spans="1:10" x14ac:dyDescent="0.3">
      <c r="B8" s="56"/>
      <c r="D8" s="57"/>
      <c r="E8" s="57"/>
      <c r="F8" s="57"/>
      <c r="G8" s="16" t="s">
        <v>351</v>
      </c>
      <c r="H8" s="6"/>
      <c r="I8" s="6"/>
      <c r="J8" s="6"/>
    </row>
    <row r="9" spans="1:10" x14ac:dyDescent="0.3">
      <c r="B9" s="56"/>
      <c r="D9" s="57"/>
      <c r="E9" s="57"/>
      <c r="F9" s="57"/>
      <c r="G9" s="16" t="s">
        <v>352</v>
      </c>
      <c r="H9" s="6"/>
      <c r="I9" s="6"/>
      <c r="J9" s="6"/>
    </row>
    <row r="10" spans="1:10" x14ac:dyDescent="0.3">
      <c r="B10" s="56"/>
      <c r="D10" s="57"/>
      <c r="E10" s="57"/>
      <c r="F10" s="57"/>
      <c r="G10" s="16" t="s">
        <v>353</v>
      </c>
      <c r="H10" s="6"/>
      <c r="I10" s="6"/>
      <c r="J10" s="6"/>
    </row>
    <row r="11" spans="1:10" x14ac:dyDescent="0.3">
      <c r="B11" s="56"/>
      <c r="D11" s="57"/>
      <c r="E11" s="57"/>
      <c r="F11" s="57"/>
      <c r="G11" s="16" t="s">
        <v>483</v>
      </c>
      <c r="H11" s="6"/>
      <c r="I11" s="6"/>
      <c r="J11" s="6"/>
    </row>
    <row r="12" spans="1:10" x14ac:dyDescent="0.3">
      <c r="B12" s="56"/>
      <c r="D12" s="57"/>
      <c r="E12" s="57"/>
      <c r="F12" s="57"/>
      <c r="G12" s="16"/>
      <c r="H12" s="6"/>
      <c r="I12" s="6"/>
      <c r="J12" s="6"/>
    </row>
    <row r="13" spans="1:10" x14ac:dyDescent="0.3">
      <c r="A13" s="63" t="s">
        <v>354</v>
      </c>
      <c r="B13" s="63"/>
      <c r="C13" s="63"/>
      <c r="D13" s="63"/>
      <c r="E13" s="63"/>
      <c r="F13" s="63"/>
      <c r="G13" s="63"/>
      <c r="H13" s="63"/>
      <c r="I13" s="63"/>
      <c r="J13" s="6"/>
    </row>
    <row r="14" spans="1:10" x14ac:dyDescent="0.3">
      <c r="A14" s="63" t="s">
        <v>355</v>
      </c>
      <c r="B14" s="63"/>
      <c r="C14" s="63"/>
      <c r="D14" s="63"/>
      <c r="E14" s="63"/>
      <c r="F14" s="63"/>
      <c r="G14" s="63"/>
      <c r="H14" s="63"/>
      <c r="I14" s="63"/>
      <c r="J14" s="6"/>
    </row>
    <row r="15" spans="1:10" x14ac:dyDescent="0.3">
      <c r="A15" s="63" t="s">
        <v>389</v>
      </c>
      <c r="B15" s="63"/>
      <c r="C15" s="63"/>
      <c r="D15" s="63"/>
      <c r="E15" s="63"/>
      <c r="F15" s="63"/>
      <c r="G15" s="63"/>
      <c r="H15" s="63"/>
      <c r="I15" s="63"/>
      <c r="J15" s="6"/>
    </row>
    <row r="16" spans="1:10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"/>
    </row>
    <row r="17" spans="1:15" x14ac:dyDescent="0.3">
      <c r="A17" s="59"/>
      <c r="B17" s="59"/>
      <c r="C17" s="59"/>
      <c r="D17" s="59"/>
      <c r="E17" s="59"/>
      <c r="F17" s="59"/>
      <c r="G17" s="59"/>
      <c r="H17" s="59"/>
      <c r="I17" s="59"/>
      <c r="J17" s="6"/>
    </row>
    <row r="18" spans="1:15" x14ac:dyDescent="0.3">
      <c r="B18" s="8"/>
      <c r="D18" s="9"/>
      <c r="E18" s="9"/>
      <c r="F18" s="9"/>
      <c r="G18" s="9"/>
      <c r="H18" s="9"/>
      <c r="I18" s="17" t="s">
        <v>356</v>
      </c>
      <c r="J18" s="6"/>
    </row>
    <row r="19" spans="1:15" x14ac:dyDescent="0.3">
      <c r="A19" s="13" t="s">
        <v>83</v>
      </c>
      <c r="B19" s="2" t="s">
        <v>84</v>
      </c>
      <c r="C19" s="1" t="s">
        <v>85</v>
      </c>
      <c r="D19" s="2" t="s">
        <v>86</v>
      </c>
      <c r="E19" s="2" t="s">
        <v>22</v>
      </c>
      <c r="F19" s="2" t="s">
        <v>23</v>
      </c>
      <c r="G19" s="2" t="s">
        <v>87</v>
      </c>
      <c r="H19" s="2" t="s">
        <v>388</v>
      </c>
      <c r="I19" s="2" t="s">
        <v>404</v>
      </c>
      <c r="J19" s="6"/>
    </row>
    <row r="20" spans="1:15" x14ac:dyDescent="0.3">
      <c r="A20" s="3" t="s">
        <v>131</v>
      </c>
      <c r="B20" s="14">
        <v>2</v>
      </c>
      <c r="C20" s="15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6"/>
    </row>
    <row r="21" spans="1:15" x14ac:dyDescent="0.3">
      <c r="A21" s="3"/>
      <c r="B21" s="5" t="s">
        <v>130</v>
      </c>
      <c r="C21" s="30"/>
      <c r="D21" s="31"/>
      <c r="E21" s="31"/>
      <c r="F21" s="31"/>
      <c r="G21" s="41">
        <f>G22+G110+G114+G120+G158+G165+G267</f>
        <v>2256652.4992800001</v>
      </c>
      <c r="H21" s="41">
        <f>H22+H110+H114+H120+H158+H165+H267</f>
        <v>2705381.66334</v>
      </c>
      <c r="I21" s="41">
        <f>I22+I110+I114+I120+I158+I165+I267</f>
        <v>2184815.84032</v>
      </c>
      <c r="J21" s="6"/>
      <c r="K21" s="40"/>
      <c r="L21" s="58"/>
      <c r="M21" s="40"/>
      <c r="O21" s="40"/>
    </row>
    <row r="22" spans="1:15" ht="93.75" x14ac:dyDescent="0.3">
      <c r="A22" s="4">
        <v>1</v>
      </c>
      <c r="B22" s="12" t="s">
        <v>407</v>
      </c>
      <c r="C22" s="23" t="s">
        <v>132</v>
      </c>
      <c r="D22" s="34"/>
      <c r="E22" s="25"/>
      <c r="F22" s="25"/>
      <c r="G22" s="32">
        <f>G23+G67+G85+G102+G93</f>
        <v>1245327.9365100001</v>
      </c>
      <c r="H22" s="32">
        <f>H23+H67+H85+H102+H93</f>
        <v>1147393.1911699998</v>
      </c>
      <c r="I22" s="32">
        <f>I23+I67+I85+I102+I93</f>
        <v>1392961.8569999998</v>
      </c>
      <c r="J22" s="6"/>
    </row>
    <row r="23" spans="1:15" ht="37.5" outlineLevel="1" x14ac:dyDescent="0.3">
      <c r="A23" s="4" t="s">
        <v>88</v>
      </c>
      <c r="B23" s="11" t="s">
        <v>24</v>
      </c>
      <c r="C23" s="23" t="s">
        <v>133</v>
      </c>
      <c r="D23" s="24"/>
      <c r="E23" s="25"/>
      <c r="F23" s="25"/>
      <c r="G23" s="32">
        <f>G24+G45+G52+G59+G62+G64</f>
        <v>1150004.8892399999</v>
      </c>
      <c r="H23" s="32">
        <f t="shared" ref="H23:I23" si="0">H24+H45+H52+H59+H62+H64</f>
        <v>1069847.4831699999</v>
      </c>
      <c r="I23" s="32">
        <f t="shared" si="0"/>
        <v>1301747.004</v>
      </c>
      <c r="J23" s="6"/>
    </row>
    <row r="24" spans="1:15" ht="75" outlineLevel="2" x14ac:dyDescent="0.3">
      <c r="A24" s="4" t="s">
        <v>89</v>
      </c>
      <c r="B24" s="11" t="s">
        <v>25</v>
      </c>
      <c r="C24" s="23" t="s">
        <v>134</v>
      </c>
      <c r="D24" s="24"/>
      <c r="E24" s="25"/>
      <c r="F24" s="25"/>
      <c r="G24" s="32">
        <f>G25+G26+G27+G28+G29+G31+G32+G33+G34+G35+G36+G37+G38+G39+G40+G41+G43+G42+G44+G30</f>
        <v>270416.51306999999</v>
      </c>
      <c r="H24" s="32">
        <f t="shared" ref="H24:I24" si="1">H25+H26+H27+H28+H29+H31+H32+H33+H34+H35+H36+H37+H38+H39+H40+H41+H43+H42+H44+H30</f>
        <v>245331.1</v>
      </c>
      <c r="I24" s="32">
        <f t="shared" si="1"/>
        <v>261166.1</v>
      </c>
      <c r="J24" s="6"/>
    </row>
    <row r="25" spans="1:15" ht="150" outlineLevel="6" x14ac:dyDescent="0.3">
      <c r="A25" s="3"/>
      <c r="B25" s="10" t="s">
        <v>349</v>
      </c>
      <c r="C25" s="26" t="s">
        <v>135</v>
      </c>
      <c r="D25" s="27" t="s">
        <v>0</v>
      </c>
      <c r="E25" s="28" t="s">
        <v>8</v>
      </c>
      <c r="F25" s="28" t="s">
        <v>9</v>
      </c>
      <c r="G25" s="42">
        <f>16547.7+1368.48</f>
        <v>17916.18</v>
      </c>
      <c r="H25" s="39">
        <v>22063.599999999999</v>
      </c>
      <c r="I25" s="39">
        <v>22063.599999999999</v>
      </c>
      <c r="J25" s="6"/>
    </row>
    <row r="26" spans="1:15" ht="93.75" outlineLevel="6" x14ac:dyDescent="0.3">
      <c r="A26" s="3"/>
      <c r="B26" s="10" t="s">
        <v>259</v>
      </c>
      <c r="C26" s="26" t="s">
        <v>135</v>
      </c>
      <c r="D26" s="27" t="s">
        <v>1</v>
      </c>
      <c r="E26" s="28" t="s">
        <v>8</v>
      </c>
      <c r="F26" s="28" t="s">
        <v>9</v>
      </c>
      <c r="G26" s="42">
        <f>15835.9+7000+1171.56096+1541.69275+6.00025+47.2+30+610.8048-550.3-110.3</f>
        <v>25582.558760000004</v>
      </c>
      <c r="H26" s="39">
        <f>8089.7+8131</f>
        <v>16220.7</v>
      </c>
      <c r="I26" s="39">
        <f>8266.6+8131</f>
        <v>16397.599999999999</v>
      </c>
      <c r="J26" s="6"/>
    </row>
    <row r="27" spans="1:15" ht="93.75" outlineLevel="6" x14ac:dyDescent="0.3">
      <c r="A27" s="3"/>
      <c r="B27" s="10" t="s">
        <v>260</v>
      </c>
      <c r="C27" s="26" t="s">
        <v>135</v>
      </c>
      <c r="D27" s="27" t="s">
        <v>2</v>
      </c>
      <c r="E27" s="28" t="s">
        <v>8</v>
      </c>
      <c r="F27" s="28" t="s">
        <v>9</v>
      </c>
      <c r="G27" s="42">
        <f>35739.15+390.52032+1898.7+35+8+32.09+458.1036-1040-419.7-1599.7</f>
        <v>35502.163920000006</v>
      </c>
      <c r="H27" s="39">
        <v>41156.699999999997</v>
      </c>
      <c r="I27" s="39">
        <v>41412.6</v>
      </c>
      <c r="J27" s="6"/>
    </row>
    <row r="28" spans="1:15" ht="56.25" outlineLevel="6" x14ac:dyDescent="0.3">
      <c r="A28" s="3"/>
      <c r="B28" s="10" t="s">
        <v>261</v>
      </c>
      <c r="C28" s="26" t="s">
        <v>135</v>
      </c>
      <c r="D28" s="27" t="s">
        <v>3</v>
      </c>
      <c r="E28" s="28" t="s">
        <v>8</v>
      </c>
      <c r="F28" s="28" t="s">
        <v>9</v>
      </c>
      <c r="G28" s="39">
        <v>440.7</v>
      </c>
      <c r="H28" s="39">
        <v>0</v>
      </c>
      <c r="I28" s="39">
        <v>0</v>
      </c>
      <c r="J28" s="6"/>
    </row>
    <row r="29" spans="1:15" ht="93.75" outlineLevel="6" x14ac:dyDescent="0.3">
      <c r="A29" s="3"/>
      <c r="B29" s="35" t="s">
        <v>358</v>
      </c>
      <c r="C29" s="18" t="s">
        <v>357</v>
      </c>
      <c r="D29" s="27">
        <v>200</v>
      </c>
      <c r="E29" s="28" t="s">
        <v>8</v>
      </c>
      <c r="F29" s="28" t="s">
        <v>9</v>
      </c>
      <c r="G29" s="42">
        <f>900+15.5646</f>
        <v>915.56460000000004</v>
      </c>
      <c r="H29" s="39">
        <v>900</v>
      </c>
      <c r="I29" s="39">
        <v>900</v>
      </c>
      <c r="J29" s="6"/>
    </row>
    <row r="30" spans="1:15" ht="131.25" outlineLevel="6" x14ac:dyDescent="0.3">
      <c r="A30" s="3"/>
      <c r="B30" s="20" t="s">
        <v>486</v>
      </c>
      <c r="C30" s="38" t="s">
        <v>485</v>
      </c>
      <c r="D30" s="44">
        <v>600</v>
      </c>
      <c r="E30" s="28" t="s">
        <v>8</v>
      </c>
      <c r="F30" s="28" t="s">
        <v>10</v>
      </c>
      <c r="G30" s="42">
        <v>80</v>
      </c>
      <c r="H30" s="42">
        <v>0</v>
      </c>
      <c r="I30" s="42">
        <v>0</v>
      </c>
      <c r="J30" s="6"/>
    </row>
    <row r="31" spans="1:15" ht="150" outlineLevel="6" x14ac:dyDescent="0.3">
      <c r="A31" s="3"/>
      <c r="B31" s="10" t="s">
        <v>262</v>
      </c>
      <c r="C31" s="26" t="s">
        <v>136</v>
      </c>
      <c r="D31" s="27" t="s">
        <v>0</v>
      </c>
      <c r="E31" s="28" t="s">
        <v>8</v>
      </c>
      <c r="F31" s="28" t="s">
        <v>10</v>
      </c>
      <c r="G31" s="42">
        <f>2479.5+826.226</f>
        <v>3305.7260000000001</v>
      </c>
      <c r="H31" s="42">
        <v>3305.8</v>
      </c>
      <c r="I31" s="42">
        <v>3305.8</v>
      </c>
      <c r="J31" s="6"/>
    </row>
    <row r="32" spans="1:15" ht="93.75" outlineLevel="6" x14ac:dyDescent="0.3">
      <c r="A32" s="3"/>
      <c r="B32" s="10" t="s">
        <v>263</v>
      </c>
      <c r="C32" s="26" t="s">
        <v>136</v>
      </c>
      <c r="D32" s="27" t="s">
        <v>1</v>
      </c>
      <c r="E32" s="28" t="s">
        <v>8</v>
      </c>
      <c r="F32" s="28" t="s">
        <v>10</v>
      </c>
      <c r="G32" s="42">
        <f>30358.41661+5000+2142.39729+634.86503+470.09639+534.20546+122.09+2137.8168-1045-1757.1+5530</f>
        <v>44127.787579999997</v>
      </c>
      <c r="H32" s="42">
        <f>33147.5-12442</f>
        <v>20705.5</v>
      </c>
      <c r="I32" s="42">
        <f>32848.3+2026-1020.1</f>
        <v>33854.200000000004</v>
      </c>
      <c r="J32" s="6"/>
    </row>
    <row r="33" spans="1:10" ht="112.5" outlineLevel="6" x14ac:dyDescent="0.3">
      <c r="A33" s="3"/>
      <c r="B33" s="10" t="s">
        <v>264</v>
      </c>
      <c r="C33" s="26" t="s">
        <v>136</v>
      </c>
      <c r="D33" s="27" t="s">
        <v>2</v>
      </c>
      <c r="E33" s="28" t="s">
        <v>8</v>
      </c>
      <c r="F33" s="28" t="s">
        <v>10</v>
      </c>
      <c r="G33" s="42">
        <f>92740.35351+7086.2+717.566+30.2+8+144.2+916.2072-6107.1-10950-5000+850</f>
        <v>80435.626709999997</v>
      </c>
      <c r="H33" s="42">
        <f>84949.8-3219</f>
        <v>81730.8</v>
      </c>
      <c r="I33" s="42">
        <f>86770.2-3347.7</f>
        <v>83422.5</v>
      </c>
      <c r="J33" s="6"/>
    </row>
    <row r="34" spans="1:10" ht="75" outlineLevel="6" x14ac:dyDescent="0.3">
      <c r="A34" s="3"/>
      <c r="B34" s="10" t="s">
        <v>265</v>
      </c>
      <c r="C34" s="26" t="s">
        <v>136</v>
      </c>
      <c r="D34" s="27" t="s">
        <v>3</v>
      </c>
      <c r="E34" s="28" t="s">
        <v>8</v>
      </c>
      <c r="F34" s="28" t="s">
        <v>10</v>
      </c>
      <c r="G34" s="39">
        <v>3456.4</v>
      </c>
      <c r="H34" s="39">
        <v>0</v>
      </c>
      <c r="I34" s="39">
        <v>0</v>
      </c>
      <c r="J34" s="6"/>
    </row>
    <row r="35" spans="1:10" ht="131.25" outlineLevel="6" x14ac:dyDescent="0.3">
      <c r="A35" s="3"/>
      <c r="B35" s="10" t="s">
        <v>266</v>
      </c>
      <c r="C35" s="38" t="s">
        <v>137</v>
      </c>
      <c r="D35" s="27" t="s">
        <v>1</v>
      </c>
      <c r="E35" s="28" t="s">
        <v>8</v>
      </c>
      <c r="F35" s="28" t="s">
        <v>10</v>
      </c>
      <c r="G35" s="42">
        <v>4935.1564099999996</v>
      </c>
      <c r="H35" s="42">
        <v>4927.7</v>
      </c>
      <c r="I35" s="42">
        <v>4927.7</v>
      </c>
      <c r="J35" s="6"/>
    </row>
    <row r="36" spans="1:10" ht="131.25" outlineLevel="6" x14ac:dyDescent="0.3">
      <c r="A36" s="3"/>
      <c r="B36" s="10" t="s">
        <v>267</v>
      </c>
      <c r="C36" s="38" t="s">
        <v>137</v>
      </c>
      <c r="D36" s="27" t="s">
        <v>2</v>
      </c>
      <c r="E36" s="28" t="s">
        <v>8</v>
      </c>
      <c r="F36" s="28" t="s">
        <v>10</v>
      </c>
      <c r="G36" s="42">
        <v>15514.872090000001</v>
      </c>
      <c r="H36" s="42">
        <v>15491.4</v>
      </c>
      <c r="I36" s="42">
        <v>15491.3</v>
      </c>
      <c r="J36" s="6"/>
    </row>
    <row r="37" spans="1:10" ht="75" outlineLevel="6" x14ac:dyDescent="0.3">
      <c r="A37" s="3"/>
      <c r="B37" s="10" t="s">
        <v>268</v>
      </c>
      <c r="C37" s="26" t="s">
        <v>138</v>
      </c>
      <c r="D37" s="27" t="s">
        <v>1</v>
      </c>
      <c r="E37" s="28" t="s">
        <v>8</v>
      </c>
      <c r="F37" s="28" t="s">
        <v>10</v>
      </c>
      <c r="G37" s="42">
        <v>1615.2</v>
      </c>
      <c r="H37" s="42">
        <v>1819.9</v>
      </c>
      <c r="I37" s="42">
        <v>1893.6</v>
      </c>
      <c r="J37" s="6"/>
    </row>
    <row r="38" spans="1:10" ht="93.75" outlineLevel="6" x14ac:dyDescent="0.3">
      <c r="A38" s="3"/>
      <c r="B38" s="10" t="s">
        <v>269</v>
      </c>
      <c r="C38" s="26" t="s">
        <v>138</v>
      </c>
      <c r="D38" s="27" t="s">
        <v>2</v>
      </c>
      <c r="E38" s="28" t="s">
        <v>8</v>
      </c>
      <c r="F38" s="28" t="s">
        <v>10</v>
      </c>
      <c r="G38" s="42">
        <v>5300.2</v>
      </c>
      <c r="H38" s="42">
        <v>5975.2</v>
      </c>
      <c r="I38" s="42">
        <v>6214.1</v>
      </c>
      <c r="J38" s="6"/>
    </row>
    <row r="39" spans="1:10" ht="93.75" outlineLevel="6" x14ac:dyDescent="0.3">
      <c r="A39" s="3"/>
      <c r="B39" s="19" t="s">
        <v>360</v>
      </c>
      <c r="C39" s="26" t="s">
        <v>359</v>
      </c>
      <c r="D39" s="27">
        <v>200</v>
      </c>
      <c r="E39" s="28" t="s">
        <v>8</v>
      </c>
      <c r="F39" s="28" t="s">
        <v>10</v>
      </c>
      <c r="G39" s="42">
        <f>14231.49438+210.72333</f>
        <v>14442.217710000001</v>
      </c>
      <c r="H39" s="42">
        <v>16500</v>
      </c>
      <c r="I39" s="42">
        <v>12200</v>
      </c>
      <c r="J39" s="6"/>
    </row>
    <row r="40" spans="1:10" ht="112.5" outlineLevel="6" x14ac:dyDescent="0.3">
      <c r="A40" s="3"/>
      <c r="B40" s="19" t="s">
        <v>361</v>
      </c>
      <c r="C40" s="26" t="s">
        <v>359</v>
      </c>
      <c r="D40" s="27">
        <v>600</v>
      </c>
      <c r="E40" s="28" t="s">
        <v>8</v>
      </c>
      <c r="F40" s="28" t="s">
        <v>10</v>
      </c>
      <c r="G40" s="42">
        <f>10468.50562+216.43842</f>
        <v>10684.94404</v>
      </c>
      <c r="H40" s="42">
        <v>8200</v>
      </c>
      <c r="I40" s="42">
        <v>12500</v>
      </c>
      <c r="J40" s="6"/>
    </row>
    <row r="41" spans="1:10" ht="93.75" outlineLevel="6" x14ac:dyDescent="0.3">
      <c r="A41" s="3"/>
      <c r="B41" s="19" t="s">
        <v>270</v>
      </c>
      <c r="C41" s="26" t="s">
        <v>139</v>
      </c>
      <c r="D41" s="27">
        <v>200</v>
      </c>
      <c r="E41" s="28" t="s">
        <v>8</v>
      </c>
      <c r="F41" s="28" t="s">
        <v>10</v>
      </c>
      <c r="G41" s="42">
        <v>0</v>
      </c>
      <c r="H41" s="42">
        <v>100</v>
      </c>
      <c r="I41" s="42">
        <v>0</v>
      </c>
      <c r="J41" s="6"/>
    </row>
    <row r="42" spans="1:10" ht="112.5" outlineLevel="6" x14ac:dyDescent="0.3">
      <c r="A42" s="3"/>
      <c r="B42" s="20" t="s">
        <v>472</v>
      </c>
      <c r="C42" s="26" t="s">
        <v>139</v>
      </c>
      <c r="D42" s="27">
        <v>600</v>
      </c>
      <c r="E42" s="28" t="s">
        <v>8</v>
      </c>
      <c r="F42" s="28" t="s">
        <v>10</v>
      </c>
      <c r="G42" s="42">
        <f>100+1.7294</f>
        <v>101.7294</v>
      </c>
      <c r="H42" s="42">
        <v>0</v>
      </c>
      <c r="I42" s="42">
        <v>100</v>
      </c>
      <c r="J42" s="6"/>
    </row>
    <row r="43" spans="1:10" ht="112.5" outlineLevel="6" x14ac:dyDescent="0.3">
      <c r="A43" s="3"/>
      <c r="B43" s="19" t="s">
        <v>405</v>
      </c>
      <c r="C43" s="18" t="s">
        <v>406</v>
      </c>
      <c r="D43" s="27">
        <v>200</v>
      </c>
      <c r="E43" s="28" t="s">
        <v>8</v>
      </c>
      <c r="F43" s="28" t="s">
        <v>10</v>
      </c>
      <c r="G43" s="42">
        <v>2083.01145</v>
      </c>
      <c r="H43" s="42">
        <v>2142.9</v>
      </c>
      <c r="I43" s="42">
        <v>2228.6</v>
      </c>
      <c r="J43" s="6"/>
    </row>
    <row r="44" spans="1:10" ht="112.5" outlineLevel="6" x14ac:dyDescent="0.3">
      <c r="A44" s="3"/>
      <c r="B44" s="20" t="s">
        <v>473</v>
      </c>
      <c r="C44" s="18" t="s">
        <v>406</v>
      </c>
      <c r="D44" s="27">
        <v>600</v>
      </c>
      <c r="E44" s="28" t="s">
        <v>8</v>
      </c>
      <c r="F44" s="28" t="s">
        <v>10</v>
      </c>
      <c r="G44" s="42">
        <v>3976.4744000000001</v>
      </c>
      <c r="H44" s="42">
        <v>4090.9</v>
      </c>
      <c r="I44" s="42">
        <v>4254.5</v>
      </c>
      <c r="J44" s="6"/>
    </row>
    <row r="45" spans="1:10" ht="75" outlineLevel="2" x14ac:dyDescent="0.3">
      <c r="A45" s="4" t="s">
        <v>90</v>
      </c>
      <c r="B45" s="11" t="s">
        <v>26</v>
      </c>
      <c r="C45" s="23" t="s">
        <v>140</v>
      </c>
      <c r="D45" s="24"/>
      <c r="E45" s="25"/>
      <c r="F45" s="25"/>
      <c r="G45" s="32">
        <f>G46+G47+G48+G49+G50+G51</f>
        <v>572497.19999999995</v>
      </c>
      <c r="H45" s="32">
        <f t="shared" ref="H45:I45" si="2">H46+H47+H48+H49+H50+H51</f>
        <v>611970.19999999995</v>
      </c>
      <c r="I45" s="32">
        <f t="shared" si="2"/>
        <v>652439.5</v>
      </c>
      <c r="J45" s="6"/>
    </row>
    <row r="46" spans="1:10" ht="187.5" outlineLevel="6" x14ac:dyDescent="0.3">
      <c r="A46" s="3"/>
      <c r="B46" s="10" t="s">
        <v>271</v>
      </c>
      <c r="C46" s="26" t="s">
        <v>141</v>
      </c>
      <c r="D46" s="27" t="s">
        <v>0</v>
      </c>
      <c r="E46" s="28" t="s">
        <v>8</v>
      </c>
      <c r="F46" s="28" t="s">
        <v>10</v>
      </c>
      <c r="G46" s="42">
        <v>155595.20000000001</v>
      </c>
      <c r="H46" s="42">
        <v>166834.4</v>
      </c>
      <c r="I46" s="42">
        <v>178290.1</v>
      </c>
      <c r="J46" s="6"/>
    </row>
    <row r="47" spans="1:10" ht="131.25" outlineLevel="6" x14ac:dyDescent="0.3">
      <c r="A47" s="3"/>
      <c r="B47" s="19" t="s">
        <v>362</v>
      </c>
      <c r="C47" s="26" t="s">
        <v>141</v>
      </c>
      <c r="D47" s="27">
        <v>200</v>
      </c>
      <c r="E47" s="28" t="s">
        <v>8</v>
      </c>
      <c r="F47" s="28" t="s">
        <v>10</v>
      </c>
      <c r="G47" s="42">
        <v>47738.3</v>
      </c>
      <c r="H47" s="42">
        <v>61498.400000000001</v>
      </c>
      <c r="I47" s="42">
        <v>65721.399999999994</v>
      </c>
      <c r="J47" s="6"/>
    </row>
    <row r="48" spans="1:10" ht="150" outlineLevel="6" x14ac:dyDescent="0.3">
      <c r="A48" s="3"/>
      <c r="B48" s="10" t="s">
        <v>272</v>
      </c>
      <c r="C48" s="26" t="s">
        <v>141</v>
      </c>
      <c r="D48" s="27" t="s">
        <v>2</v>
      </c>
      <c r="E48" s="28" t="s">
        <v>8</v>
      </c>
      <c r="F48" s="28" t="s">
        <v>10</v>
      </c>
      <c r="G48" s="42">
        <v>240431.1</v>
      </c>
      <c r="H48" s="42">
        <v>247486.1</v>
      </c>
      <c r="I48" s="42">
        <v>264480.09999999998</v>
      </c>
      <c r="J48" s="6"/>
    </row>
    <row r="49" spans="1:10" ht="150" outlineLevel="6" x14ac:dyDescent="0.3">
      <c r="A49" s="3"/>
      <c r="B49" s="10" t="s">
        <v>273</v>
      </c>
      <c r="C49" s="26" t="s">
        <v>142</v>
      </c>
      <c r="D49" s="27" t="s">
        <v>0</v>
      </c>
      <c r="E49" s="28" t="s">
        <v>8</v>
      </c>
      <c r="F49" s="28" t="s">
        <v>9</v>
      </c>
      <c r="G49" s="42">
        <v>64692.2</v>
      </c>
      <c r="H49" s="42">
        <v>68420.600000000006</v>
      </c>
      <c r="I49" s="42">
        <v>72338.8</v>
      </c>
      <c r="J49" s="6"/>
    </row>
    <row r="50" spans="1:10" ht="93.75" outlineLevel="6" x14ac:dyDescent="0.3">
      <c r="A50" s="3"/>
      <c r="B50" s="10" t="s">
        <v>274</v>
      </c>
      <c r="C50" s="26" t="s">
        <v>142</v>
      </c>
      <c r="D50" s="27" t="s">
        <v>1</v>
      </c>
      <c r="E50" s="28" t="s">
        <v>8</v>
      </c>
      <c r="F50" s="28" t="s">
        <v>9</v>
      </c>
      <c r="G50" s="42">
        <v>1320.7</v>
      </c>
      <c r="H50" s="42">
        <v>1396.5</v>
      </c>
      <c r="I50" s="42">
        <v>1476.5</v>
      </c>
      <c r="J50" s="6"/>
    </row>
    <row r="51" spans="1:10" ht="112.5" outlineLevel="6" x14ac:dyDescent="0.3">
      <c r="A51" s="3"/>
      <c r="B51" s="10" t="s">
        <v>275</v>
      </c>
      <c r="C51" s="26" t="s">
        <v>142</v>
      </c>
      <c r="D51" s="27" t="s">
        <v>2</v>
      </c>
      <c r="E51" s="28" t="s">
        <v>8</v>
      </c>
      <c r="F51" s="28" t="s">
        <v>9</v>
      </c>
      <c r="G51" s="42">
        <v>62719.7</v>
      </c>
      <c r="H51" s="42">
        <v>66334.2</v>
      </c>
      <c r="I51" s="42">
        <v>70132.600000000006</v>
      </c>
      <c r="J51" s="6"/>
    </row>
    <row r="52" spans="1:10" ht="56.25" outlineLevel="2" x14ac:dyDescent="0.3">
      <c r="A52" s="4" t="s">
        <v>91</v>
      </c>
      <c r="B52" s="11" t="s">
        <v>27</v>
      </c>
      <c r="C52" s="23" t="s">
        <v>143</v>
      </c>
      <c r="D52" s="24"/>
      <c r="E52" s="25"/>
      <c r="F52" s="25"/>
      <c r="G52" s="32">
        <f>G54+G55+G56+G57+G58+G53</f>
        <v>163600.97616999998</v>
      </c>
      <c r="H52" s="32">
        <f t="shared" ref="H52:I52" si="3">H54+H55+H56+H57+H58+H53</f>
        <v>168955.18317</v>
      </c>
      <c r="I52" s="32">
        <f t="shared" si="3"/>
        <v>176190.35</v>
      </c>
      <c r="J52" s="6"/>
    </row>
    <row r="53" spans="1:10" ht="131.25" outlineLevel="2" x14ac:dyDescent="0.3">
      <c r="A53" s="4"/>
      <c r="B53" s="20" t="s">
        <v>488</v>
      </c>
      <c r="C53" s="38" t="s">
        <v>487</v>
      </c>
      <c r="D53" s="27" t="s">
        <v>1</v>
      </c>
      <c r="E53" s="28" t="s">
        <v>8</v>
      </c>
      <c r="F53" s="28" t="s">
        <v>11</v>
      </c>
      <c r="G53" s="42">
        <v>400</v>
      </c>
      <c r="H53" s="42">
        <v>0</v>
      </c>
      <c r="I53" s="42">
        <v>0</v>
      </c>
      <c r="J53" s="6"/>
    </row>
    <row r="54" spans="1:10" ht="150" outlineLevel="6" x14ac:dyDescent="0.3">
      <c r="A54" s="3"/>
      <c r="B54" s="10" t="s">
        <v>276</v>
      </c>
      <c r="C54" s="26" t="s">
        <v>144</v>
      </c>
      <c r="D54" s="27" t="s">
        <v>0</v>
      </c>
      <c r="E54" s="28" t="s">
        <v>8</v>
      </c>
      <c r="F54" s="28" t="s">
        <v>11</v>
      </c>
      <c r="G54" s="42">
        <f>89322.4+156+9000+121.08226+3390</f>
        <v>101989.48225999999</v>
      </c>
      <c r="H54" s="42">
        <f>122882.3+156</f>
        <v>123038.3</v>
      </c>
      <c r="I54" s="42">
        <f>128025.6+156</f>
        <v>128181.6</v>
      </c>
      <c r="J54" s="6"/>
    </row>
    <row r="55" spans="1:10" ht="93.75" outlineLevel="6" x14ac:dyDescent="0.3">
      <c r="A55" s="3"/>
      <c r="B55" s="10" t="s">
        <v>277</v>
      </c>
      <c r="C55" s="26" t="s">
        <v>144</v>
      </c>
      <c r="D55" s="27" t="s">
        <v>1</v>
      </c>
      <c r="E55" s="28" t="s">
        <v>8</v>
      </c>
      <c r="F55" s="28" t="s">
        <v>11</v>
      </c>
      <c r="G55" s="42">
        <f>36643.03+8400+465.99116+121.07347+0.07938+7.5+152.7012-1600-11008.9</f>
        <v>33181.475210000004</v>
      </c>
      <c r="H55" s="42">
        <f>22639.98317+2844</f>
        <v>25483.98317</v>
      </c>
      <c r="I55" s="42">
        <f>23552.05+2844</f>
        <v>26396.05</v>
      </c>
      <c r="J55" s="6"/>
    </row>
    <row r="56" spans="1:10" ht="93.75" outlineLevel="6" x14ac:dyDescent="0.3">
      <c r="A56" s="3"/>
      <c r="B56" s="10" t="s">
        <v>278</v>
      </c>
      <c r="C56" s="26" t="s">
        <v>144</v>
      </c>
      <c r="D56" s="27" t="s">
        <v>2</v>
      </c>
      <c r="E56" s="28" t="s">
        <v>8</v>
      </c>
      <c r="F56" s="28" t="s">
        <v>11</v>
      </c>
      <c r="G56" s="42">
        <f>14120.9+7.5+152.7012-64.7</f>
        <v>14216.401199999998</v>
      </c>
      <c r="H56" s="42">
        <v>19182.900000000001</v>
      </c>
      <c r="I56" s="42">
        <v>20362.7</v>
      </c>
      <c r="J56" s="6"/>
    </row>
    <row r="57" spans="1:10" ht="75" outlineLevel="6" x14ac:dyDescent="0.3">
      <c r="A57" s="3"/>
      <c r="B57" s="10" t="s">
        <v>279</v>
      </c>
      <c r="C57" s="26" t="s">
        <v>144</v>
      </c>
      <c r="D57" s="27" t="s">
        <v>3</v>
      </c>
      <c r="E57" s="28" t="s">
        <v>8</v>
      </c>
      <c r="F57" s="28" t="s">
        <v>11</v>
      </c>
      <c r="G57" s="39">
        <f>12542</f>
        <v>12542</v>
      </c>
      <c r="H57" s="39">
        <v>0</v>
      </c>
      <c r="I57" s="39">
        <v>0</v>
      </c>
      <c r="J57" s="6"/>
    </row>
    <row r="58" spans="1:10" ht="93.75" outlineLevel="6" x14ac:dyDescent="0.3">
      <c r="A58" s="3"/>
      <c r="B58" s="19" t="s">
        <v>364</v>
      </c>
      <c r="C58" s="18" t="s">
        <v>363</v>
      </c>
      <c r="D58" s="27">
        <v>200</v>
      </c>
      <c r="E58" s="28" t="s">
        <v>8</v>
      </c>
      <c r="F58" s="28" t="s">
        <v>11</v>
      </c>
      <c r="G58" s="42">
        <f>1250+21.6175</f>
        <v>1271.6175000000001</v>
      </c>
      <c r="H58" s="39">
        <v>1250</v>
      </c>
      <c r="I58" s="39">
        <v>1250</v>
      </c>
      <c r="J58" s="6"/>
    </row>
    <row r="59" spans="1:10" ht="93.75" outlineLevel="2" x14ac:dyDescent="0.3">
      <c r="A59" s="4" t="s">
        <v>92</v>
      </c>
      <c r="B59" s="11" t="s">
        <v>28</v>
      </c>
      <c r="C59" s="23" t="s">
        <v>145</v>
      </c>
      <c r="D59" s="24"/>
      <c r="E59" s="25"/>
      <c r="F59" s="25"/>
      <c r="G59" s="32">
        <f>G60+G61</f>
        <v>99899.199999999997</v>
      </c>
      <c r="H59" s="32">
        <f t="shared" ref="H59:I59" si="4">H60+H61</f>
        <v>0</v>
      </c>
      <c r="I59" s="32">
        <f t="shared" si="4"/>
        <v>66529.8</v>
      </c>
      <c r="J59" s="6"/>
    </row>
    <row r="60" spans="1:10" ht="75" outlineLevel="6" x14ac:dyDescent="0.3">
      <c r="A60" s="3"/>
      <c r="B60" s="19" t="s">
        <v>366</v>
      </c>
      <c r="C60" s="18" t="s">
        <v>365</v>
      </c>
      <c r="D60" s="27" t="s">
        <v>4</v>
      </c>
      <c r="E60" s="28" t="s">
        <v>8</v>
      </c>
      <c r="F60" s="28" t="s">
        <v>12</v>
      </c>
      <c r="G60" s="42">
        <v>99899.199999999997</v>
      </c>
      <c r="H60" s="39">
        <v>0</v>
      </c>
      <c r="I60" s="39">
        <v>0</v>
      </c>
      <c r="J60" s="6"/>
    </row>
    <row r="61" spans="1:10" ht="75" outlineLevel="6" x14ac:dyDescent="0.3">
      <c r="A61" s="3"/>
      <c r="B61" s="19" t="s">
        <v>316</v>
      </c>
      <c r="C61" s="18" t="s">
        <v>390</v>
      </c>
      <c r="D61" s="27" t="s">
        <v>4</v>
      </c>
      <c r="E61" s="28" t="s">
        <v>8</v>
      </c>
      <c r="F61" s="28" t="s">
        <v>12</v>
      </c>
      <c r="G61" s="39">
        <v>0</v>
      </c>
      <c r="H61" s="39">
        <v>0</v>
      </c>
      <c r="I61" s="39">
        <v>66529.8</v>
      </c>
      <c r="J61" s="6"/>
    </row>
    <row r="62" spans="1:10" ht="37.5" outlineLevel="6" x14ac:dyDescent="0.3">
      <c r="A62" s="4" t="s">
        <v>93</v>
      </c>
      <c r="B62" s="11" t="s">
        <v>424</v>
      </c>
      <c r="C62" s="23" t="s">
        <v>425</v>
      </c>
      <c r="D62" s="24"/>
      <c r="E62" s="25"/>
      <c r="F62" s="25"/>
      <c r="G62" s="43">
        <f>G63</f>
        <v>0</v>
      </c>
      <c r="H62" s="43">
        <f t="shared" ref="H62:I62" si="5">H63</f>
        <v>0</v>
      </c>
      <c r="I62" s="43">
        <f t="shared" si="5"/>
        <v>101830.254</v>
      </c>
      <c r="J62" s="6"/>
    </row>
    <row r="63" spans="1:10" ht="93.75" outlineLevel="6" x14ac:dyDescent="0.3">
      <c r="A63" s="3"/>
      <c r="B63" s="19" t="s">
        <v>427</v>
      </c>
      <c r="C63" s="18" t="s">
        <v>426</v>
      </c>
      <c r="D63" s="27">
        <v>200</v>
      </c>
      <c r="E63" s="28" t="s">
        <v>8</v>
      </c>
      <c r="F63" s="28" t="s">
        <v>10</v>
      </c>
      <c r="G63" s="39">
        <v>0</v>
      </c>
      <c r="H63" s="39">
        <v>0</v>
      </c>
      <c r="I63" s="39">
        <v>101830.254</v>
      </c>
      <c r="J63" s="6"/>
    </row>
    <row r="64" spans="1:10" ht="37.5" outlineLevel="6" x14ac:dyDescent="0.3">
      <c r="A64" s="4" t="s">
        <v>423</v>
      </c>
      <c r="B64" s="11" t="s">
        <v>428</v>
      </c>
      <c r="C64" s="23" t="s">
        <v>429</v>
      </c>
      <c r="D64" s="24"/>
      <c r="E64" s="25"/>
      <c r="F64" s="25"/>
      <c r="G64" s="43">
        <f>G65+G66</f>
        <v>43591</v>
      </c>
      <c r="H64" s="43">
        <f t="shared" ref="H64:I64" si="6">H65+H66</f>
        <v>43591</v>
      </c>
      <c r="I64" s="43">
        <f t="shared" si="6"/>
        <v>43591</v>
      </c>
      <c r="J64" s="6"/>
    </row>
    <row r="65" spans="1:10" ht="187.5" outlineLevel="6" x14ac:dyDescent="0.3">
      <c r="A65" s="3"/>
      <c r="B65" s="19" t="s">
        <v>280</v>
      </c>
      <c r="C65" s="38" t="s">
        <v>430</v>
      </c>
      <c r="D65" s="37" t="s">
        <v>0</v>
      </c>
      <c r="E65" s="28"/>
      <c r="F65" s="28"/>
      <c r="G65" s="42">
        <v>18436</v>
      </c>
      <c r="H65" s="42">
        <v>18436</v>
      </c>
      <c r="I65" s="42">
        <v>18436</v>
      </c>
      <c r="J65" s="6"/>
    </row>
    <row r="66" spans="1:10" ht="131.25" outlineLevel="6" x14ac:dyDescent="0.3">
      <c r="A66" s="3"/>
      <c r="B66" s="19" t="s">
        <v>281</v>
      </c>
      <c r="C66" s="38" t="s">
        <v>430</v>
      </c>
      <c r="D66" s="37">
        <v>600</v>
      </c>
      <c r="E66" s="28"/>
      <c r="F66" s="28"/>
      <c r="G66" s="42">
        <v>25155</v>
      </c>
      <c r="H66" s="42">
        <v>25155</v>
      </c>
      <c r="I66" s="42">
        <v>25155</v>
      </c>
      <c r="J66" s="6"/>
    </row>
    <row r="67" spans="1:10" ht="37.5" outlineLevel="1" x14ac:dyDescent="0.3">
      <c r="A67" s="4" t="s">
        <v>94</v>
      </c>
      <c r="B67" s="11" t="s">
        <v>29</v>
      </c>
      <c r="C67" s="23" t="s">
        <v>146</v>
      </c>
      <c r="D67" s="24"/>
      <c r="E67" s="25"/>
      <c r="F67" s="25"/>
      <c r="G67" s="32">
        <f>G68+G71+G73+G76+G80+G78</f>
        <v>16771.36131</v>
      </c>
      <c r="H67" s="32">
        <f t="shared" ref="H67:I67" si="7">H68+H71+H73+H76+H80+H78</f>
        <v>11674.008000000002</v>
      </c>
      <c r="I67" s="32">
        <f t="shared" si="7"/>
        <v>14975.153</v>
      </c>
      <c r="J67" s="6"/>
    </row>
    <row r="68" spans="1:10" ht="56.25" outlineLevel="2" x14ac:dyDescent="0.3">
      <c r="A68" s="4" t="s">
        <v>96</v>
      </c>
      <c r="B68" s="11" t="s">
        <v>30</v>
      </c>
      <c r="C68" s="23" t="s">
        <v>147</v>
      </c>
      <c r="D68" s="24"/>
      <c r="E68" s="25"/>
      <c r="F68" s="25"/>
      <c r="G68" s="32">
        <f>G69+G70</f>
        <v>1153</v>
      </c>
      <c r="H68" s="32">
        <f t="shared" ref="H68:I68" si="8">H69+H70</f>
        <v>1153</v>
      </c>
      <c r="I68" s="32">
        <f t="shared" si="8"/>
        <v>1153</v>
      </c>
      <c r="J68" s="6"/>
    </row>
    <row r="69" spans="1:10" ht="150" outlineLevel="6" x14ac:dyDescent="0.3">
      <c r="A69" s="3"/>
      <c r="B69" s="20" t="s">
        <v>367</v>
      </c>
      <c r="C69" s="26" t="s">
        <v>148</v>
      </c>
      <c r="D69" s="27">
        <v>100</v>
      </c>
      <c r="E69" s="28" t="s">
        <v>8</v>
      </c>
      <c r="F69" s="28" t="s">
        <v>8</v>
      </c>
      <c r="G69" s="42">
        <v>247.5</v>
      </c>
      <c r="H69" s="42">
        <v>247.5</v>
      </c>
      <c r="I69" s="42">
        <v>247.5</v>
      </c>
      <c r="J69" s="6"/>
    </row>
    <row r="70" spans="1:10" ht="93.75" outlineLevel="6" x14ac:dyDescent="0.3">
      <c r="A70" s="3"/>
      <c r="B70" s="20" t="s">
        <v>368</v>
      </c>
      <c r="C70" s="26" t="s">
        <v>148</v>
      </c>
      <c r="D70" s="27">
        <v>600</v>
      </c>
      <c r="E70" s="28" t="s">
        <v>8</v>
      </c>
      <c r="F70" s="28" t="s">
        <v>8</v>
      </c>
      <c r="G70" s="42">
        <v>905.5</v>
      </c>
      <c r="H70" s="42">
        <v>905.5</v>
      </c>
      <c r="I70" s="42">
        <v>905.5</v>
      </c>
      <c r="J70" s="6"/>
    </row>
    <row r="71" spans="1:10" ht="112.5" outlineLevel="2" x14ac:dyDescent="0.3">
      <c r="A71" s="4" t="s">
        <v>97</v>
      </c>
      <c r="B71" s="11" t="s">
        <v>31</v>
      </c>
      <c r="C71" s="23" t="s">
        <v>149</v>
      </c>
      <c r="D71" s="24"/>
      <c r="E71" s="25"/>
      <c r="F71" s="25"/>
      <c r="G71" s="32">
        <f>G72</f>
        <v>4499.7443899999998</v>
      </c>
      <c r="H71" s="32">
        <f t="shared" ref="H71:I71" si="9">H72</f>
        <v>0</v>
      </c>
      <c r="I71" s="32">
        <f t="shared" si="9"/>
        <v>3000</v>
      </c>
      <c r="J71" s="6"/>
    </row>
    <row r="72" spans="1:10" ht="75" outlineLevel="6" x14ac:dyDescent="0.3">
      <c r="A72" s="3"/>
      <c r="B72" s="10" t="s">
        <v>282</v>
      </c>
      <c r="C72" s="26" t="s">
        <v>150</v>
      </c>
      <c r="D72" s="27" t="s">
        <v>1</v>
      </c>
      <c r="E72" s="28" t="s">
        <v>8</v>
      </c>
      <c r="F72" s="28" t="s">
        <v>8</v>
      </c>
      <c r="G72" s="42">
        <f>3000-0.25561+1500</f>
        <v>4499.7443899999998</v>
      </c>
      <c r="H72" s="42">
        <f>3000-3000</f>
        <v>0</v>
      </c>
      <c r="I72" s="42">
        <v>3000</v>
      </c>
      <c r="J72" s="6"/>
    </row>
    <row r="73" spans="1:10" ht="56.25" outlineLevel="2" x14ac:dyDescent="0.3">
      <c r="A73" s="4" t="s">
        <v>98</v>
      </c>
      <c r="B73" s="11" t="s">
        <v>32</v>
      </c>
      <c r="C73" s="23" t="s">
        <v>151</v>
      </c>
      <c r="D73" s="24"/>
      <c r="E73" s="25"/>
      <c r="F73" s="25"/>
      <c r="G73" s="32">
        <f>G74+G75</f>
        <v>4894.0144</v>
      </c>
      <c r="H73" s="32">
        <f t="shared" ref="H73:I73" si="10">H74+H75</f>
        <v>4866.6000000000004</v>
      </c>
      <c r="I73" s="32">
        <f t="shared" si="10"/>
        <v>5051.2</v>
      </c>
      <c r="J73" s="6"/>
    </row>
    <row r="74" spans="1:10" ht="93.75" outlineLevel="6" x14ac:dyDescent="0.3">
      <c r="A74" s="3"/>
      <c r="B74" s="10" t="s">
        <v>283</v>
      </c>
      <c r="C74" s="26" t="s">
        <v>152</v>
      </c>
      <c r="D74" s="27" t="s">
        <v>1</v>
      </c>
      <c r="E74" s="28" t="s">
        <v>8</v>
      </c>
      <c r="F74" s="28" t="s">
        <v>12</v>
      </c>
      <c r="G74" s="42">
        <f>250+128.24634</f>
        <v>378.24634000000003</v>
      </c>
      <c r="H74" s="39">
        <v>250</v>
      </c>
      <c r="I74" s="39">
        <v>250</v>
      </c>
      <c r="J74" s="6"/>
    </row>
    <row r="75" spans="1:10" ht="93.75" outlineLevel="6" x14ac:dyDescent="0.3">
      <c r="A75" s="3"/>
      <c r="B75" s="10" t="s">
        <v>283</v>
      </c>
      <c r="C75" s="26" t="s">
        <v>153</v>
      </c>
      <c r="D75" s="27" t="s">
        <v>1</v>
      </c>
      <c r="E75" s="28" t="s">
        <v>8</v>
      </c>
      <c r="F75" s="28" t="s">
        <v>12</v>
      </c>
      <c r="G75" s="42">
        <f>4439+76.76806</f>
        <v>4515.7680600000003</v>
      </c>
      <c r="H75" s="39">
        <v>4616.6000000000004</v>
      </c>
      <c r="I75" s="39">
        <v>4801.2</v>
      </c>
      <c r="J75" s="6"/>
    </row>
    <row r="76" spans="1:10" ht="37.5" outlineLevel="2" x14ac:dyDescent="0.3">
      <c r="A76" s="4" t="s">
        <v>99</v>
      </c>
      <c r="B76" s="11" t="s">
        <v>33</v>
      </c>
      <c r="C76" s="23" t="s">
        <v>154</v>
      </c>
      <c r="D76" s="24"/>
      <c r="E76" s="25"/>
      <c r="F76" s="25"/>
      <c r="G76" s="32">
        <f>G77</f>
        <v>678.22991000000002</v>
      </c>
      <c r="H76" s="32">
        <f t="shared" ref="H76:I76" si="11">H77</f>
        <v>802.8</v>
      </c>
      <c r="I76" s="32">
        <f t="shared" si="11"/>
        <v>865.5</v>
      </c>
      <c r="J76" s="6"/>
    </row>
    <row r="77" spans="1:10" ht="56.25" outlineLevel="6" x14ac:dyDescent="0.3">
      <c r="A77" s="3"/>
      <c r="B77" s="10" t="s">
        <v>284</v>
      </c>
      <c r="C77" s="26" t="s">
        <v>155</v>
      </c>
      <c r="D77" s="27" t="s">
        <v>5</v>
      </c>
      <c r="E77" s="28" t="s">
        <v>8</v>
      </c>
      <c r="F77" s="28" t="s">
        <v>12</v>
      </c>
      <c r="G77" s="42">
        <f>666.7+11.52991</f>
        <v>678.22991000000002</v>
      </c>
      <c r="H77" s="39">
        <v>802.8</v>
      </c>
      <c r="I77" s="39">
        <v>865.5</v>
      </c>
      <c r="J77" s="6"/>
    </row>
    <row r="78" spans="1:10" ht="37.5" outlineLevel="6" x14ac:dyDescent="0.3">
      <c r="A78" s="4" t="s">
        <v>100</v>
      </c>
      <c r="B78" s="21" t="s">
        <v>489</v>
      </c>
      <c r="C78" s="45" t="s">
        <v>490</v>
      </c>
      <c r="D78" s="24"/>
      <c r="E78" s="25"/>
      <c r="F78" s="25"/>
      <c r="G78" s="47">
        <f>G79</f>
        <v>739.25561000000005</v>
      </c>
      <c r="H78" s="47">
        <f t="shared" ref="H78:I78" si="12">H79</f>
        <v>0</v>
      </c>
      <c r="I78" s="47">
        <f t="shared" si="12"/>
        <v>0</v>
      </c>
      <c r="J78" s="6"/>
    </row>
    <row r="79" spans="1:10" ht="112.5" outlineLevel="6" x14ac:dyDescent="0.3">
      <c r="A79" s="3"/>
      <c r="B79" s="20" t="s">
        <v>474</v>
      </c>
      <c r="C79" s="38" t="s">
        <v>436</v>
      </c>
      <c r="D79" s="27">
        <v>600</v>
      </c>
      <c r="E79" s="38" t="s">
        <v>8</v>
      </c>
      <c r="F79" s="38" t="s">
        <v>8</v>
      </c>
      <c r="G79" s="42">
        <f>739+0.25561</f>
        <v>739.25561000000005</v>
      </c>
      <c r="H79" s="42">
        <v>0</v>
      </c>
      <c r="I79" s="42">
        <v>0</v>
      </c>
      <c r="J79" s="6"/>
    </row>
    <row r="80" spans="1:10" ht="37.5" outlineLevel="2" x14ac:dyDescent="0.3">
      <c r="A80" s="4" t="s">
        <v>529</v>
      </c>
      <c r="B80" s="21" t="s">
        <v>415</v>
      </c>
      <c r="C80" s="22" t="s">
        <v>414</v>
      </c>
      <c r="D80" s="24"/>
      <c r="E80" s="25"/>
      <c r="F80" s="25"/>
      <c r="G80" s="32">
        <f>G81+G82+G83+G84</f>
        <v>4807.1170000000002</v>
      </c>
      <c r="H80" s="32">
        <f t="shared" ref="H80:I80" si="13">H81+H82+H83+H84</f>
        <v>4851.6080000000002</v>
      </c>
      <c r="I80" s="32">
        <f t="shared" si="13"/>
        <v>4905.4529999999995</v>
      </c>
      <c r="J80" s="6"/>
    </row>
    <row r="81" spans="1:10" ht="187.5" outlineLevel="6" x14ac:dyDescent="0.3">
      <c r="A81" s="3"/>
      <c r="B81" s="10" t="s">
        <v>285</v>
      </c>
      <c r="C81" s="18" t="s">
        <v>416</v>
      </c>
      <c r="D81" s="27" t="s">
        <v>0</v>
      </c>
      <c r="E81" s="28" t="s">
        <v>8</v>
      </c>
      <c r="F81" s="28" t="s">
        <v>12</v>
      </c>
      <c r="G81" s="42">
        <v>1599.402</v>
      </c>
      <c r="H81" s="42">
        <v>1623.67</v>
      </c>
      <c r="I81" s="42">
        <v>1653.04</v>
      </c>
      <c r="J81" s="6"/>
    </row>
    <row r="82" spans="1:10" ht="150" outlineLevel="6" x14ac:dyDescent="0.3">
      <c r="A82" s="3"/>
      <c r="B82" s="10" t="s">
        <v>286</v>
      </c>
      <c r="C82" s="18" t="s">
        <v>416</v>
      </c>
      <c r="D82" s="27" t="s">
        <v>2</v>
      </c>
      <c r="E82" s="28" t="s">
        <v>8</v>
      </c>
      <c r="F82" s="28" t="s">
        <v>12</v>
      </c>
      <c r="G82" s="42">
        <v>1332.835</v>
      </c>
      <c r="H82" s="42">
        <v>1353.058</v>
      </c>
      <c r="I82" s="42">
        <v>1377.5329999999999</v>
      </c>
      <c r="J82" s="6"/>
    </row>
    <row r="83" spans="1:10" ht="168.75" outlineLevel="6" x14ac:dyDescent="0.3">
      <c r="A83" s="3"/>
      <c r="B83" s="19" t="s">
        <v>438</v>
      </c>
      <c r="C83" s="18" t="s">
        <v>437</v>
      </c>
      <c r="D83" s="27">
        <v>100</v>
      </c>
      <c r="E83" s="28" t="s">
        <v>8</v>
      </c>
      <c r="F83" s="28" t="s">
        <v>12</v>
      </c>
      <c r="G83" s="42">
        <v>1093.68</v>
      </c>
      <c r="H83" s="42">
        <v>1093.68</v>
      </c>
      <c r="I83" s="42">
        <v>1093.68</v>
      </c>
      <c r="J83" s="6"/>
    </row>
    <row r="84" spans="1:10" ht="131.25" outlineLevel="6" x14ac:dyDescent="0.3">
      <c r="A84" s="3"/>
      <c r="B84" s="19" t="s">
        <v>439</v>
      </c>
      <c r="C84" s="18" t="s">
        <v>437</v>
      </c>
      <c r="D84" s="27">
        <v>600</v>
      </c>
      <c r="E84" s="28" t="s">
        <v>8</v>
      </c>
      <c r="F84" s="28" t="s">
        <v>12</v>
      </c>
      <c r="G84" s="42">
        <v>781.2</v>
      </c>
      <c r="H84" s="42">
        <v>781.2</v>
      </c>
      <c r="I84" s="42">
        <v>781.2</v>
      </c>
      <c r="J84" s="6"/>
    </row>
    <row r="85" spans="1:10" ht="37.5" outlineLevel="1" x14ac:dyDescent="0.3">
      <c r="A85" s="4" t="s">
        <v>95</v>
      </c>
      <c r="B85" s="11" t="s">
        <v>34</v>
      </c>
      <c r="C85" s="23" t="s">
        <v>156</v>
      </c>
      <c r="D85" s="24"/>
      <c r="E85" s="25"/>
      <c r="F85" s="25"/>
      <c r="G85" s="32">
        <f>G89+G86</f>
        <v>17006.881999999998</v>
      </c>
      <c r="H85" s="32">
        <f t="shared" ref="H85:I85" si="14">H89+H86</f>
        <v>2289.8000000000002</v>
      </c>
      <c r="I85" s="32">
        <f t="shared" si="14"/>
        <v>10289.799999999999</v>
      </c>
      <c r="J85" s="6"/>
    </row>
    <row r="86" spans="1:10" ht="56.25" outlineLevel="1" x14ac:dyDescent="0.3">
      <c r="A86" s="4" t="s">
        <v>101</v>
      </c>
      <c r="B86" s="46" t="s">
        <v>526</v>
      </c>
      <c r="C86" s="45" t="s">
        <v>527</v>
      </c>
      <c r="D86" s="24"/>
      <c r="E86" s="25"/>
      <c r="F86" s="25"/>
      <c r="G86" s="32">
        <f>G87+G88</f>
        <v>1840</v>
      </c>
      <c r="H86" s="32">
        <f t="shared" ref="H86:I86" si="15">H87+H88</f>
        <v>0</v>
      </c>
      <c r="I86" s="32">
        <f t="shared" si="15"/>
        <v>0</v>
      </c>
      <c r="J86" s="6"/>
    </row>
    <row r="87" spans="1:10" ht="131.25" outlineLevel="1" x14ac:dyDescent="0.3">
      <c r="A87" s="4"/>
      <c r="B87" s="20" t="s">
        <v>488</v>
      </c>
      <c r="C87" s="38" t="s">
        <v>528</v>
      </c>
      <c r="D87" s="44">
        <v>200</v>
      </c>
      <c r="E87" s="38" t="s">
        <v>13</v>
      </c>
      <c r="F87" s="38" t="s">
        <v>10</v>
      </c>
      <c r="G87" s="42">
        <v>480</v>
      </c>
      <c r="H87" s="42">
        <v>0</v>
      </c>
      <c r="I87" s="42">
        <v>0</v>
      </c>
      <c r="J87" s="6"/>
    </row>
    <row r="88" spans="1:10" ht="131.25" outlineLevel="1" x14ac:dyDescent="0.3">
      <c r="A88" s="4"/>
      <c r="B88" s="20" t="s">
        <v>486</v>
      </c>
      <c r="C88" s="38" t="s">
        <v>528</v>
      </c>
      <c r="D88" s="44">
        <v>600</v>
      </c>
      <c r="E88" s="38" t="s">
        <v>13</v>
      </c>
      <c r="F88" s="38" t="s">
        <v>10</v>
      </c>
      <c r="G88" s="42">
        <v>1360</v>
      </c>
      <c r="H88" s="42">
        <v>0</v>
      </c>
      <c r="I88" s="42">
        <v>0</v>
      </c>
      <c r="J88" s="6"/>
    </row>
    <row r="89" spans="1:10" ht="168.75" outlineLevel="2" x14ac:dyDescent="0.3">
      <c r="A89" s="4" t="s">
        <v>530</v>
      </c>
      <c r="B89" s="11" t="s">
        <v>35</v>
      </c>
      <c r="C89" s="23" t="s">
        <v>157</v>
      </c>
      <c r="D89" s="24"/>
      <c r="E89" s="25"/>
      <c r="F89" s="25"/>
      <c r="G89" s="32">
        <f>G90+G91+G92</f>
        <v>15166.882</v>
      </c>
      <c r="H89" s="32">
        <f t="shared" ref="H89:I89" si="16">H90+H91+H92</f>
        <v>2289.8000000000002</v>
      </c>
      <c r="I89" s="32">
        <f t="shared" si="16"/>
        <v>10289.799999999999</v>
      </c>
      <c r="J89" s="6"/>
    </row>
    <row r="90" spans="1:10" ht="75" outlineLevel="6" x14ac:dyDescent="0.3">
      <c r="A90" s="3"/>
      <c r="B90" s="10" t="s">
        <v>287</v>
      </c>
      <c r="C90" s="26" t="s">
        <v>158</v>
      </c>
      <c r="D90" s="27" t="s">
        <v>1</v>
      </c>
      <c r="E90" s="28" t="s">
        <v>13</v>
      </c>
      <c r="F90" s="28" t="s">
        <v>9</v>
      </c>
      <c r="G90" s="42">
        <f>8400+4000</f>
        <v>12400</v>
      </c>
      <c r="H90" s="42">
        <f>8400-8000</f>
        <v>400</v>
      </c>
      <c r="I90" s="42">
        <v>8400</v>
      </c>
      <c r="J90" s="6"/>
    </row>
    <row r="91" spans="1:10" ht="93.75" outlineLevel="6" x14ac:dyDescent="0.3">
      <c r="A91" s="3"/>
      <c r="B91" s="10" t="s">
        <v>288</v>
      </c>
      <c r="C91" s="26" t="s">
        <v>159</v>
      </c>
      <c r="D91" s="27" t="s">
        <v>1</v>
      </c>
      <c r="E91" s="28" t="s">
        <v>13</v>
      </c>
      <c r="F91" s="28" t="s">
        <v>10</v>
      </c>
      <c r="G91" s="42">
        <f>1889.8+32.682</f>
        <v>1922.482</v>
      </c>
      <c r="H91" s="42">
        <v>1889.8</v>
      </c>
      <c r="I91" s="42">
        <v>1889.8</v>
      </c>
      <c r="J91" s="6"/>
    </row>
    <row r="92" spans="1:10" ht="150" outlineLevel="6" x14ac:dyDescent="0.3">
      <c r="A92" s="3"/>
      <c r="B92" s="10" t="s">
        <v>289</v>
      </c>
      <c r="C92" s="26" t="s">
        <v>160</v>
      </c>
      <c r="D92" s="27" t="s">
        <v>1</v>
      </c>
      <c r="E92" s="28" t="s">
        <v>14</v>
      </c>
      <c r="F92" s="28" t="s">
        <v>15</v>
      </c>
      <c r="G92" s="42">
        <f>830+14.4</f>
        <v>844.4</v>
      </c>
      <c r="H92" s="42">
        <v>0</v>
      </c>
      <c r="I92" s="42">
        <v>0</v>
      </c>
      <c r="J92" s="6"/>
    </row>
    <row r="93" spans="1:10" ht="37.5" outlineLevel="1" x14ac:dyDescent="0.3">
      <c r="A93" s="4" t="s">
        <v>102</v>
      </c>
      <c r="B93" s="11" t="s">
        <v>36</v>
      </c>
      <c r="C93" s="23" t="s">
        <v>161</v>
      </c>
      <c r="D93" s="24"/>
      <c r="E93" s="25"/>
      <c r="F93" s="25"/>
      <c r="G93" s="32">
        <f>G94+G97+G100</f>
        <v>38978.203959999999</v>
      </c>
      <c r="H93" s="32">
        <f t="shared" ref="H93:I93" si="17">H94+H97+H100</f>
        <v>40131</v>
      </c>
      <c r="I93" s="32">
        <f t="shared" si="17"/>
        <v>41577</v>
      </c>
      <c r="J93" s="6"/>
    </row>
    <row r="94" spans="1:10" ht="56.25" outlineLevel="2" x14ac:dyDescent="0.3">
      <c r="A94" s="4" t="s">
        <v>103</v>
      </c>
      <c r="B94" s="11" t="s">
        <v>37</v>
      </c>
      <c r="C94" s="23" t="s">
        <v>162</v>
      </c>
      <c r="D94" s="24"/>
      <c r="E94" s="25"/>
      <c r="F94" s="25"/>
      <c r="G94" s="32">
        <f>G95+G96</f>
        <v>6812.2039599999998</v>
      </c>
      <c r="H94" s="32">
        <f t="shared" ref="H94:I94" si="18">H95+H96</f>
        <v>6831</v>
      </c>
      <c r="I94" s="32">
        <f t="shared" si="18"/>
        <v>7098</v>
      </c>
      <c r="J94" s="6"/>
    </row>
    <row r="95" spans="1:10" ht="131.25" outlineLevel="6" x14ac:dyDescent="0.3">
      <c r="A95" s="3"/>
      <c r="B95" s="10" t="s">
        <v>290</v>
      </c>
      <c r="C95" s="26" t="s">
        <v>163</v>
      </c>
      <c r="D95" s="27" t="s">
        <v>0</v>
      </c>
      <c r="E95" s="28" t="s">
        <v>8</v>
      </c>
      <c r="F95" s="28" t="s">
        <v>12</v>
      </c>
      <c r="G95" s="42">
        <f>6440+207</f>
        <v>6647</v>
      </c>
      <c r="H95" s="39">
        <f>6698</f>
        <v>6698</v>
      </c>
      <c r="I95" s="39">
        <f>6965</f>
        <v>6965</v>
      </c>
      <c r="J95" s="6"/>
    </row>
    <row r="96" spans="1:10" ht="75" outlineLevel="6" x14ac:dyDescent="0.3">
      <c r="A96" s="3"/>
      <c r="B96" s="10" t="s">
        <v>291</v>
      </c>
      <c r="C96" s="26" t="s">
        <v>163</v>
      </c>
      <c r="D96" s="27" t="s">
        <v>1</v>
      </c>
      <c r="E96" s="28" t="s">
        <v>8</v>
      </c>
      <c r="F96" s="28" t="s">
        <v>12</v>
      </c>
      <c r="G96" s="42">
        <f>133+32.20396</f>
        <v>165.20396</v>
      </c>
      <c r="H96" s="39">
        <v>133</v>
      </c>
      <c r="I96" s="39">
        <v>133</v>
      </c>
      <c r="J96" s="6"/>
    </row>
    <row r="97" spans="1:10" ht="56.25" outlineLevel="2" x14ac:dyDescent="0.3">
      <c r="A97" s="4" t="s">
        <v>104</v>
      </c>
      <c r="B97" s="11" t="s">
        <v>38</v>
      </c>
      <c r="C97" s="23" t="s">
        <v>164</v>
      </c>
      <c r="D97" s="24"/>
      <c r="E97" s="25"/>
      <c r="F97" s="25"/>
      <c r="G97" s="32">
        <f>G98+G99</f>
        <v>29739</v>
      </c>
      <c r="H97" s="32">
        <f t="shared" ref="H97:I97" si="19">H98+H99</f>
        <v>30778</v>
      </c>
      <c r="I97" s="32">
        <f t="shared" si="19"/>
        <v>31858</v>
      </c>
      <c r="J97" s="6"/>
    </row>
    <row r="98" spans="1:10" ht="150" outlineLevel="6" x14ac:dyDescent="0.3">
      <c r="A98" s="3"/>
      <c r="B98" s="10" t="s">
        <v>292</v>
      </c>
      <c r="C98" s="26" t="s">
        <v>165</v>
      </c>
      <c r="D98" s="27" t="s">
        <v>0</v>
      </c>
      <c r="E98" s="28" t="s">
        <v>8</v>
      </c>
      <c r="F98" s="28" t="s">
        <v>12</v>
      </c>
      <c r="G98" s="39">
        <f>25974</f>
        <v>25974</v>
      </c>
      <c r="H98" s="39">
        <f>27013</f>
        <v>27013</v>
      </c>
      <c r="I98" s="39">
        <f>28093</f>
        <v>28093</v>
      </c>
      <c r="J98" s="6"/>
    </row>
    <row r="99" spans="1:10" ht="93.75" outlineLevel="6" x14ac:dyDescent="0.3">
      <c r="A99" s="3"/>
      <c r="B99" s="10" t="s">
        <v>293</v>
      </c>
      <c r="C99" s="26" t="s">
        <v>165</v>
      </c>
      <c r="D99" s="27" t="s">
        <v>1</v>
      </c>
      <c r="E99" s="28" t="s">
        <v>8</v>
      </c>
      <c r="F99" s="28" t="s">
        <v>12</v>
      </c>
      <c r="G99" s="39">
        <f>3765</f>
        <v>3765</v>
      </c>
      <c r="H99" s="39">
        <f>3765</f>
        <v>3765</v>
      </c>
      <c r="I99" s="39">
        <f>3765</f>
        <v>3765</v>
      </c>
      <c r="J99" s="6"/>
    </row>
    <row r="100" spans="1:10" ht="93.75" outlineLevel="2" x14ac:dyDescent="0.3">
      <c r="A100" s="4" t="s">
        <v>105</v>
      </c>
      <c r="B100" s="11" t="s">
        <v>39</v>
      </c>
      <c r="C100" s="23" t="s">
        <v>166</v>
      </c>
      <c r="D100" s="24"/>
      <c r="E100" s="25"/>
      <c r="F100" s="25"/>
      <c r="G100" s="32">
        <f>G101</f>
        <v>2427</v>
      </c>
      <c r="H100" s="32">
        <f t="shared" ref="H100:I100" si="20">H101</f>
        <v>2522</v>
      </c>
      <c r="I100" s="32">
        <f t="shared" si="20"/>
        <v>2621</v>
      </c>
      <c r="J100" s="6"/>
    </row>
    <row r="101" spans="1:10" ht="150" outlineLevel="6" x14ac:dyDescent="0.3">
      <c r="A101" s="3"/>
      <c r="B101" s="10" t="s">
        <v>294</v>
      </c>
      <c r="C101" s="26" t="s">
        <v>369</v>
      </c>
      <c r="D101" s="27" t="s">
        <v>0</v>
      </c>
      <c r="E101" s="28" t="s">
        <v>9</v>
      </c>
      <c r="F101" s="28" t="s">
        <v>16</v>
      </c>
      <c r="G101" s="39">
        <v>2427</v>
      </c>
      <c r="H101" s="39">
        <v>2522</v>
      </c>
      <c r="I101" s="39">
        <v>2621</v>
      </c>
      <c r="J101" s="6"/>
    </row>
    <row r="102" spans="1:10" ht="56.25" outlineLevel="1" x14ac:dyDescent="0.3">
      <c r="A102" s="4" t="s">
        <v>106</v>
      </c>
      <c r="B102" s="11" t="s">
        <v>40</v>
      </c>
      <c r="C102" s="23" t="s">
        <v>167</v>
      </c>
      <c r="D102" s="24"/>
      <c r="E102" s="25"/>
      <c r="F102" s="25"/>
      <c r="G102" s="32">
        <f>G103</f>
        <v>22566.6</v>
      </c>
      <c r="H102" s="32">
        <f t="shared" ref="H102:I102" si="21">H103</f>
        <v>23450.9</v>
      </c>
      <c r="I102" s="32">
        <f t="shared" si="21"/>
        <v>24372.9</v>
      </c>
      <c r="J102" s="6"/>
    </row>
    <row r="103" spans="1:10" ht="131.25" outlineLevel="2" x14ac:dyDescent="0.3">
      <c r="A103" s="4" t="s">
        <v>107</v>
      </c>
      <c r="B103" s="11" t="s">
        <v>41</v>
      </c>
      <c r="C103" s="23" t="s">
        <v>168</v>
      </c>
      <c r="D103" s="24"/>
      <c r="E103" s="25"/>
      <c r="F103" s="25"/>
      <c r="G103" s="32">
        <f>G104+G106+G109+G105+G107+G108</f>
        <v>22566.6</v>
      </c>
      <c r="H103" s="32">
        <f t="shared" ref="H103:I103" si="22">H104+H106+H109+H105+H107+H108</f>
        <v>23450.9</v>
      </c>
      <c r="I103" s="32">
        <f t="shared" si="22"/>
        <v>24372.9</v>
      </c>
      <c r="J103" s="6"/>
    </row>
    <row r="104" spans="1:10" ht="150" outlineLevel="6" x14ac:dyDescent="0.3">
      <c r="A104" s="3"/>
      <c r="B104" s="10" t="s">
        <v>295</v>
      </c>
      <c r="C104" s="26" t="s">
        <v>169</v>
      </c>
      <c r="D104" s="27" t="s">
        <v>5</v>
      </c>
      <c r="E104" s="28" t="s">
        <v>14</v>
      </c>
      <c r="F104" s="28" t="s">
        <v>17</v>
      </c>
      <c r="G104" s="42">
        <v>231.9</v>
      </c>
      <c r="H104" s="42">
        <v>241.2</v>
      </c>
      <c r="I104" s="42">
        <v>250.8</v>
      </c>
      <c r="J104" s="6"/>
    </row>
    <row r="105" spans="1:10" ht="187.5" outlineLevel="6" x14ac:dyDescent="0.3">
      <c r="A105" s="3"/>
      <c r="B105" s="20" t="s">
        <v>475</v>
      </c>
      <c r="C105" s="26" t="s">
        <v>169</v>
      </c>
      <c r="D105" s="27">
        <v>600</v>
      </c>
      <c r="E105" s="28" t="s">
        <v>14</v>
      </c>
      <c r="F105" s="28" t="s">
        <v>17</v>
      </c>
      <c r="G105" s="42">
        <v>200.7</v>
      </c>
      <c r="H105" s="42">
        <v>208.7</v>
      </c>
      <c r="I105" s="42">
        <v>217.1</v>
      </c>
      <c r="J105" s="6"/>
    </row>
    <row r="106" spans="1:10" ht="93.75" outlineLevel="6" x14ac:dyDescent="0.3">
      <c r="A106" s="3"/>
      <c r="B106" s="19" t="s">
        <v>476</v>
      </c>
      <c r="C106" s="18" t="s">
        <v>479</v>
      </c>
      <c r="D106" s="27" t="s">
        <v>5</v>
      </c>
      <c r="E106" s="28" t="s">
        <v>14</v>
      </c>
      <c r="F106" s="28" t="s">
        <v>17</v>
      </c>
      <c r="G106" s="42">
        <v>4367</v>
      </c>
      <c r="H106" s="42">
        <v>4541</v>
      </c>
      <c r="I106" s="42">
        <v>4723</v>
      </c>
      <c r="J106" s="6"/>
    </row>
    <row r="107" spans="1:10" ht="112.5" outlineLevel="6" x14ac:dyDescent="0.3">
      <c r="A107" s="3"/>
      <c r="B107" s="19" t="s">
        <v>477</v>
      </c>
      <c r="C107" s="18" t="s">
        <v>480</v>
      </c>
      <c r="D107" s="27" t="s">
        <v>5</v>
      </c>
      <c r="E107" s="28" t="s">
        <v>14</v>
      </c>
      <c r="F107" s="28" t="s">
        <v>17</v>
      </c>
      <c r="G107" s="42">
        <v>3103</v>
      </c>
      <c r="H107" s="42">
        <v>3227</v>
      </c>
      <c r="I107" s="42">
        <v>3357</v>
      </c>
      <c r="J107" s="6"/>
    </row>
    <row r="108" spans="1:10" ht="93.75" outlineLevel="6" x14ac:dyDescent="0.3">
      <c r="A108" s="3"/>
      <c r="B108" s="19" t="s">
        <v>478</v>
      </c>
      <c r="C108" s="18" t="s">
        <v>481</v>
      </c>
      <c r="D108" s="27" t="s">
        <v>5</v>
      </c>
      <c r="E108" s="28" t="s">
        <v>14</v>
      </c>
      <c r="F108" s="28" t="s">
        <v>17</v>
      </c>
      <c r="G108" s="42">
        <v>14232</v>
      </c>
      <c r="H108" s="42">
        <v>14801</v>
      </c>
      <c r="I108" s="42">
        <v>15393</v>
      </c>
      <c r="J108" s="6"/>
    </row>
    <row r="109" spans="1:10" ht="56.25" outlineLevel="6" x14ac:dyDescent="0.3">
      <c r="A109" s="3"/>
      <c r="B109" s="10" t="s">
        <v>296</v>
      </c>
      <c r="C109" s="26" t="s">
        <v>170</v>
      </c>
      <c r="D109" s="27" t="s">
        <v>5</v>
      </c>
      <c r="E109" s="28" t="s">
        <v>14</v>
      </c>
      <c r="F109" s="28" t="s">
        <v>17</v>
      </c>
      <c r="G109" s="42">
        <v>432</v>
      </c>
      <c r="H109" s="42">
        <v>432</v>
      </c>
      <c r="I109" s="42">
        <v>432</v>
      </c>
      <c r="J109" s="6"/>
    </row>
    <row r="110" spans="1:10" ht="37.5" x14ac:dyDescent="0.3">
      <c r="A110" s="4" t="s">
        <v>108</v>
      </c>
      <c r="B110" s="11" t="s">
        <v>408</v>
      </c>
      <c r="C110" s="23" t="s">
        <v>171</v>
      </c>
      <c r="D110" s="24"/>
      <c r="E110" s="25"/>
      <c r="F110" s="25"/>
      <c r="G110" s="32">
        <f>G111</f>
        <v>500</v>
      </c>
      <c r="H110" s="32">
        <f t="shared" ref="H110:I110" si="23">H111</f>
        <v>500</v>
      </c>
      <c r="I110" s="32">
        <f t="shared" si="23"/>
        <v>500</v>
      </c>
      <c r="J110" s="6"/>
    </row>
    <row r="111" spans="1:10" ht="37.5" outlineLevel="2" x14ac:dyDescent="0.3">
      <c r="A111" s="4" t="s">
        <v>109</v>
      </c>
      <c r="B111" s="11" t="s">
        <v>42</v>
      </c>
      <c r="C111" s="23" t="s">
        <v>172</v>
      </c>
      <c r="D111" s="24"/>
      <c r="E111" s="25"/>
      <c r="F111" s="25"/>
      <c r="G111" s="32">
        <f>G112+G113</f>
        <v>500</v>
      </c>
      <c r="H111" s="32">
        <f t="shared" ref="H111:I111" si="24">H112+H113</f>
        <v>500</v>
      </c>
      <c r="I111" s="32">
        <f t="shared" si="24"/>
        <v>500</v>
      </c>
      <c r="J111" s="6"/>
    </row>
    <row r="112" spans="1:10" ht="56.25" outlineLevel="6" x14ac:dyDescent="0.3">
      <c r="A112" s="3"/>
      <c r="B112" s="10" t="s">
        <v>297</v>
      </c>
      <c r="C112" s="26" t="s">
        <v>173</v>
      </c>
      <c r="D112" s="27" t="s">
        <v>1</v>
      </c>
      <c r="E112" s="28" t="s">
        <v>8</v>
      </c>
      <c r="F112" s="28" t="s">
        <v>8</v>
      </c>
      <c r="G112" s="42">
        <v>230</v>
      </c>
      <c r="H112" s="42">
        <v>230</v>
      </c>
      <c r="I112" s="42">
        <v>230</v>
      </c>
      <c r="J112" s="6"/>
    </row>
    <row r="113" spans="1:10" ht="37.5" outlineLevel="6" x14ac:dyDescent="0.3">
      <c r="A113" s="3"/>
      <c r="B113" s="10" t="s">
        <v>298</v>
      </c>
      <c r="C113" s="26" t="s">
        <v>173</v>
      </c>
      <c r="D113" s="27" t="s">
        <v>5</v>
      </c>
      <c r="E113" s="28" t="s">
        <v>8</v>
      </c>
      <c r="F113" s="28" t="s">
        <v>8</v>
      </c>
      <c r="G113" s="42">
        <v>270</v>
      </c>
      <c r="H113" s="42">
        <v>270</v>
      </c>
      <c r="I113" s="42">
        <v>270</v>
      </c>
      <c r="J113" s="6"/>
    </row>
    <row r="114" spans="1:10" ht="75" x14ac:dyDescent="0.3">
      <c r="A114" s="4" t="s">
        <v>110</v>
      </c>
      <c r="B114" s="11" t="s">
        <v>409</v>
      </c>
      <c r="C114" s="23" t="s">
        <v>174</v>
      </c>
      <c r="D114" s="24"/>
      <c r="E114" s="25"/>
      <c r="F114" s="25"/>
      <c r="G114" s="32">
        <f>G115+G117</f>
        <v>27626.126</v>
      </c>
      <c r="H114" s="32">
        <f t="shared" ref="H114:I114" si="25">H115+H117</f>
        <v>20</v>
      </c>
      <c r="I114" s="32">
        <f t="shared" si="25"/>
        <v>3161.15</v>
      </c>
      <c r="J114" s="6"/>
    </row>
    <row r="115" spans="1:10" ht="75" outlineLevel="2" x14ac:dyDescent="0.3">
      <c r="A115" s="4" t="s">
        <v>111</v>
      </c>
      <c r="B115" s="11" t="s">
        <v>43</v>
      </c>
      <c r="C115" s="23" t="s">
        <v>175</v>
      </c>
      <c r="D115" s="24"/>
      <c r="E115" s="25"/>
      <c r="F115" s="25"/>
      <c r="G115" s="32">
        <f>G116</f>
        <v>20</v>
      </c>
      <c r="H115" s="32">
        <f t="shared" ref="H115:I115" si="26">H116</f>
        <v>20</v>
      </c>
      <c r="I115" s="32">
        <f t="shared" si="26"/>
        <v>20</v>
      </c>
      <c r="J115" s="6"/>
    </row>
    <row r="116" spans="1:10" ht="93.75" outlineLevel="6" x14ac:dyDescent="0.3">
      <c r="A116" s="3"/>
      <c r="B116" s="10" t="s">
        <v>299</v>
      </c>
      <c r="C116" s="26" t="s">
        <v>176</v>
      </c>
      <c r="D116" s="27" t="s">
        <v>1</v>
      </c>
      <c r="E116" s="28" t="s">
        <v>11</v>
      </c>
      <c r="F116" s="28" t="s">
        <v>18</v>
      </c>
      <c r="G116" s="33">
        <v>20</v>
      </c>
      <c r="H116" s="33">
        <v>20</v>
      </c>
      <c r="I116" s="33">
        <v>20</v>
      </c>
      <c r="J116" s="6"/>
    </row>
    <row r="117" spans="1:10" ht="75" outlineLevel="2" x14ac:dyDescent="0.3">
      <c r="A117" s="4" t="s">
        <v>112</v>
      </c>
      <c r="B117" s="11" t="s">
        <v>44</v>
      </c>
      <c r="C117" s="23" t="s">
        <v>177</v>
      </c>
      <c r="D117" s="24"/>
      <c r="E117" s="25"/>
      <c r="F117" s="25"/>
      <c r="G117" s="32">
        <f>G118+G119</f>
        <v>27606.126</v>
      </c>
      <c r="H117" s="32">
        <f>H118+H119</f>
        <v>0</v>
      </c>
      <c r="I117" s="32">
        <f>I118+I119</f>
        <v>3141.15</v>
      </c>
      <c r="J117" s="6"/>
    </row>
    <row r="118" spans="1:10" ht="112.5" outlineLevel="6" x14ac:dyDescent="0.3">
      <c r="A118" s="3"/>
      <c r="B118" s="10" t="s">
        <v>300</v>
      </c>
      <c r="C118" s="26" t="s">
        <v>178</v>
      </c>
      <c r="D118" s="27" t="s">
        <v>1</v>
      </c>
      <c r="E118" s="28" t="s">
        <v>11</v>
      </c>
      <c r="F118" s="28" t="s">
        <v>18</v>
      </c>
      <c r="G118" s="39">
        <v>10001.5638</v>
      </c>
      <c r="H118" s="39">
        <v>0</v>
      </c>
      <c r="I118" s="39">
        <v>3141.15</v>
      </c>
    </row>
    <row r="119" spans="1:10" ht="112.5" outlineLevel="6" x14ac:dyDescent="0.3">
      <c r="A119" s="3"/>
      <c r="B119" s="10" t="s">
        <v>301</v>
      </c>
      <c r="C119" s="26" t="s">
        <v>178</v>
      </c>
      <c r="D119" s="27" t="s">
        <v>2</v>
      </c>
      <c r="E119" s="28" t="s">
        <v>11</v>
      </c>
      <c r="F119" s="28" t="s">
        <v>18</v>
      </c>
      <c r="G119" s="42">
        <f>17542.05+62.5122</f>
        <v>17604.5622</v>
      </c>
      <c r="H119" s="39">
        <v>0</v>
      </c>
      <c r="I119" s="39">
        <v>0</v>
      </c>
      <c r="J119" s="6"/>
    </row>
    <row r="120" spans="1:10" ht="75" x14ac:dyDescent="0.3">
      <c r="A120" s="4" t="s">
        <v>113</v>
      </c>
      <c r="B120" s="11" t="s">
        <v>410</v>
      </c>
      <c r="C120" s="23" t="s">
        <v>179</v>
      </c>
      <c r="D120" s="24"/>
      <c r="E120" s="25"/>
      <c r="F120" s="25"/>
      <c r="G120" s="32">
        <f>G121+G127+G147+G154</f>
        <v>187271.34781000001</v>
      </c>
      <c r="H120" s="32">
        <f>H121+H127+H147+H154</f>
        <v>188122.26102000001</v>
      </c>
      <c r="I120" s="32">
        <f>I121+I127+I147+I154</f>
        <v>200882.93484</v>
      </c>
      <c r="J120" s="6"/>
    </row>
    <row r="121" spans="1:10" ht="37.5" outlineLevel="1" x14ac:dyDescent="0.3">
      <c r="A121" s="4" t="s">
        <v>114</v>
      </c>
      <c r="B121" s="11" t="s">
        <v>45</v>
      </c>
      <c r="C121" s="23" t="s">
        <v>180</v>
      </c>
      <c r="D121" s="24"/>
      <c r="E121" s="25"/>
      <c r="F121" s="25"/>
      <c r="G121" s="32">
        <f>G122+G125</f>
        <v>38238.66691</v>
      </c>
      <c r="H121" s="32">
        <f t="shared" ref="H121:I121" si="27">H122+H125</f>
        <v>38419.599999999999</v>
      </c>
      <c r="I121" s="32">
        <f t="shared" si="27"/>
        <v>48216.800000000003</v>
      </c>
      <c r="J121" s="6"/>
    </row>
    <row r="122" spans="1:10" ht="56.25" outlineLevel="2" x14ac:dyDescent="0.3">
      <c r="A122" s="4" t="s">
        <v>115</v>
      </c>
      <c r="B122" s="11" t="s">
        <v>46</v>
      </c>
      <c r="C122" s="23" t="s">
        <v>181</v>
      </c>
      <c r="D122" s="24"/>
      <c r="E122" s="25"/>
      <c r="F122" s="25"/>
      <c r="G122" s="32">
        <f>G123+G124</f>
        <v>38238.66691</v>
      </c>
      <c r="H122" s="32">
        <f t="shared" ref="H122:I122" si="28">H123+H124</f>
        <v>38419.599999999999</v>
      </c>
      <c r="I122" s="32">
        <f t="shared" si="28"/>
        <v>41216.800000000003</v>
      </c>
      <c r="J122" s="6"/>
    </row>
    <row r="123" spans="1:10" ht="150" outlineLevel="6" x14ac:dyDescent="0.3">
      <c r="A123" s="3"/>
      <c r="B123" s="10" t="s">
        <v>302</v>
      </c>
      <c r="C123" s="26" t="s">
        <v>182</v>
      </c>
      <c r="D123" s="27" t="s">
        <v>0</v>
      </c>
      <c r="E123" s="28" t="s">
        <v>8</v>
      </c>
      <c r="F123" s="28" t="s">
        <v>11</v>
      </c>
      <c r="G123" s="42">
        <f>34966.7+342</f>
        <v>35308.699999999997</v>
      </c>
      <c r="H123" s="39">
        <v>37717.599999999999</v>
      </c>
      <c r="I123" s="39">
        <v>40514.800000000003</v>
      </c>
      <c r="J123" s="6"/>
    </row>
    <row r="124" spans="1:10" ht="93.75" outlineLevel="6" x14ac:dyDescent="0.3">
      <c r="A124" s="3"/>
      <c r="B124" s="10" t="s">
        <v>303</v>
      </c>
      <c r="C124" s="26" t="s">
        <v>182</v>
      </c>
      <c r="D124" s="27" t="s">
        <v>1</v>
      </c>
      <c r="E124" s="28" t="s">
        <v>8</v>
      </c>
      <c r="F124" s="28" t="s">
        <v>11</v>
      </c>
      <c r="G124" s="42">
        <f>2700.2+229.76691</f>
        <v>2929.9669099999996</v>
      </c>
      <c r="H124" s="39">
        <v>702</v>
      </c>
      <c r="I124" s="39">
        <v>702</v>
      </c>
      <c r="J124" s="6"/>
    </row>
    <row r="125" spans="1:10" ht="37.5" outlineLevel="6" x14ac:dyDescent="0.3">
      <c r="A125" s="4" t="s">
        <v>431</v>
      </c>
      <c r="B125" s="11" t="s">
        <v>432</v>
      </c>
      <c r="C125" s="23" t="s">
        <v>433</v>
      </c>
      <c r="D125" s="24"/>
      <c r="E125" s="25"/>
      <c r="F125" s="25"/>
      <c r="G125" s="43">
        <f>G126</f>
        <v>0</v>
      </c>
      <c r="H125" s="43">
        <f t="shared" ref="H125:I125" si="29">H126</f>
        <v>0</v>
      </c>
      <c r="I125" s="43">
        <f t="shared" si="29"/>
        <v>7000</v>
      </c>
      <c r="J125" s="6"/>
    </row>
    <row r="126" spans="1:10" ht="75" outlineLevel="6" x14ac:dyDescent="0.3">
      <c r="A126" s="3"/>
      <c r="B126" s="19" t="s">
        <v>435</v>
      </c>
      <c r="C126" s="18" t="s">
        <v>434</v>
      </c>
      <c r="D126" s="27">
        <v>200</v>
      </c>
      <c r="E126" s="28" t="s">
        <v>8</v>
      </c>
      <c r="F126" s="28" t="s">
        <v>11</v>
      </c>
      <c r="G126" s="39">
        <v>0</v>
      </c>
      <c r="H126" s="39">
        <v>0</v>
      </c>
      <c r="I126" s="39">
        <v>7000</v>
      </c>
      <c r="J126" s="6"/>
    </row>
    <row r="127" spans="1:10" ht="37.5" outlineLevel="1" x14ac:dyDescent="0.3">
      <c r="A127" s="4" t="s">
        <v>116</v>
      </c>
      <c r="B127" s="11" t="s">
        <v>47</v>
      </c>
      <c r="C127" s="23" t="s">
        <v>183</v>
      </c>
      <c r="D127" s="24"/>
      <c r="E127" s="25"/>
      <c r="F127" s="25"/>
      <c r="G127" s="32">
        <f>G128+G131+G135+G137+G144+G142+G140</f>
        <v>124009.98090000001</v>
      </c>
      <c r="H127" s="32">
        <f>H128+H131+H135+H137+H144+H142+H140</f>
        <v>127135.76102000001</v>
      </c>
      <c r="I127" s="32">
        <f>I128+I131+I135+I137+I144+I142+I140</f>
        <v>129195.83484</v>
      </c>
      <c r="J127" s="6"/>
    </row>
    <row r="128" spans="1:10" ht="37.5" outlineLevel="2" x14ac:dyDescent="0.3">
      <c r="A128" s="4" t="s">
        <v>117</v>
      </c>
      <c r="B128" s="11" t="s">
        <v>48</v>
      </c>
      <c r="C128" s="23" t="s">
        <v>184</v>
      </c>
      <c r="D128" s="24"/>
      <c r="E128" s="25"/>
      <c r="F128" s="25"/>
      <c r="G128" s="32">
        <f>G129+G130</f>
        <v>30115.085879999999</v>
      </c>
      <c r="H128" s="32">
        <f t="shared" ref="H128:I128" si="30">H129+H130</f>
        <v>27922.799999999999</v>
      </c>
      <c r="I128" s="32">
        <f t="shared" si="30"/>
        <v>29030.1</v>
      </c>
      <c r="J128" s="6"/>
    </row>
    <row r="129" spans="1:10" ht="150" outlineLevel="6" x14ac:dyDescent="0.3">
      <c r="A129" s="3"/>
      <c r="B129" s="10" t="s">
        <v>304</v>
      </c>
      <c r="C129" s="26" t="s">
        <v>185</v>
      </c>
      <c r="D129" s="27" t="s">
        <v>0</v>
      </c>
      <c r="E129" s="28" t="s">
        <v>19</v>
      </c>
      <c r="F129" s="28" t="s">
        <v>9</v>
      </c>
      <c r="G129" s="39">
        <v>26325.1</v>
      </c>
      <c r="H129" s="39">
        <v>27596.1</v>
      </c>
      <c r="I129" s="39">
        <v>28694</v>
      </c>
      <c r="J129" s="6"/>
    </row>
    <row r="130" spans="1:10" ht="93.75" outlineLevel="6" x14ac:dyDescent="0.3">
      <c r="A130" s="3"/>
      <c r="B130" s="10" t="s">
        <v>305</v>
      </c>
      <c r="C130" s="26" t="s">
        <v>185</v>
      </c>
      <c r="D130" s="27" t="s">
        <v>1</v>
      </c>
      <c r="E130" s="28" t="s">
        <v>19</v>
      </c>
      <c r="F130" s="28" t="s">
        <v>9</v>
      </c>
      <c r="G130" s="42">
        <f>3727.04912+62.93676</f>
        <v>3789.9858800000002</v>
      </c>
      <c r="H130" s="39">
        <v>326.7</v>
      </c>
      <c r="I130" s="39">
        <v>336.1</v>
      </c>
      <c r="J130" s="6"/>
    </row>
    <row r="131" spans="1:10" ht="37.5" outlineLevel="2" x14ac:dyDescent="0.3">
      <c r="A131" s="4" t="s">
        <v>118</v>
      </c>
      <c r="B131" s="11" t="s">
        <v>49</v>
      </c>
      <c r="C131" s="23" t="s">
        <v>186</v>
      </c>
      <c r="D131" s="24"/>
      <c r="E131" s="25"/>
      <c r="F131" s="25"/>
      <c r="G131" s="32">
        <f>G132+G133+G134</f>
        <v>87370.846399999995</v>
      </c>
      <c r="H131" s="32">
        <f t="shared" ref="H131:I131" si="31">H132+H133+H134</f>
        <v>92795.200000000012</v>
      </c>
      <c r="I131" s="32">
        <f t="shared" si="31"/>
        <v>89623.900000000009</v>
      </c>
      <c r="J131" s="6"/>
    </row>
    <row r="132" spans="1:10" ht="131.25" outlineLevel="6" x14ac:dyDescent="0.3">
      <c r="A132" s="3"/>
      <c r="B132" s="10" t="s">
        <v>306</v>
      </c>
      <c r="C132" s="26" t="s">
        <v>187</v>
      </c>
      <c r="D132" s="27" t="s">
        <v>0</v>
      </c>
      <c r="E132" s="28" t="s">
        <v>19</v>
      </c>
      <c r="F132" s="28" t="s">
        <v>9</v>
      </c>
      <c r="G132" s="39">
        <v>69211.100000000006</v>
      </c>
      <c r="H132" s="39">
        <v>72368.100000000006</v>
      </c>
      <c r="I132" s="39">
        <v>77535.5</v>
      </c>
      <c r="J132" s="6"/>
    </row>
    <row r="133" spans="1:10" ht="75" outlineLevel="6" x14ac:dyDescent="0.3">
      <c r="A133" s="3"/>
      <c r="B133" s="10" t="s">
        <v>307</v>
      </c>
      <c r="C133" s="26" t="s">
        <v>187</v>
      </c>
      <c r="D133" s="27" t="s">
        <v>1</v>
      </c>
      <c r="E133" s="28" t="s">
        <v>19</v>
      </c>
      <c r="F133" s="28" t="s">
        <v>9</v>
      </c>
      <c r="G133" s="42">
        <f>14208.81607+1784.53033</f>
        <v>15993.3464</v>
      </c>
      <c r="H133" s="42">
        <f>7427.1+13000</f>
        <v>20427.099999999999</v>
      </c>
      <c r="I133" s="39">
        <v>10262.1</v>
      </c>
      <c r="J133" s="6"/>
    </row>
    <row r="134" spans="1:10" ht="56.25" outlineLevel="6" x14ac:dyDescent="0.3">
      <c r="A134" s="3"/>
      <c r="B134" s="10" t="s">
        <v>308</v>
      </c>
      <c r="C134" s="26" t="s">
        <v>187</v>
      </c>
      <c r="D134" s="27" t="s">
        <v>3</v>
      </c>
      <c r="E134" s="28" t="s">
        <v>19</v>
      </c>
      <c r="F134" s="28" t="s">
        <v>9</v>
      </c>
      <c r="G134" s="39">
        <v>2166.4</v>
      </c>
      <c r="H134" s="39">
        <v>0</v>
      </c>
      <c r="I134" s="39">
        <v>1826.3</v>
      </c>
      <c r="J134" s="6"/>
    </row>
    <row r="135" spans="1:10" ht="37.5" outlineLevel="2" x14ac:dyDescent="0.3">
      <c r="A135" s="4" t="s">
        <v>119</v>
      </c>
      <c r="B135" s="11" t="s">
        <v>50</v>
      </c>
      <c r="C135" s="23" t="s">
        <v>188</v>
      </c>
      <c r="D135" s="24"/>
      <c r="E135" s="25"/>
      <c r="F135" s="25"/>
      <c r="G135" s="32">
        <f>G136</f>
        <v>190.54643999999999</v>
      </c>
      <c r="H135" s="32">
        <f t="shared" ref="H135:I135" si="32">H136</f>
        <v>193.06102000000001</v>
      </c>
      <c r="I135" s="32">
        <f t="shared" si="32"/>
        <v>193.43484000000001</v>
      </c>
      <c r="J135" s="6"/>
    </row>
    <row r="136" spans="1:10" ht="75" outlineLevel="6" x14ac:dyDescent="0.3">
      <c r="A136" s="3"/>
      <c r="B136" s="10" t="s">
        <v>309</v>
      </c>
      <c r="C136" s="26" t="s">
        <v>189</v>
      </c>
      <c r="D136" s="27" t="s">
        <v>1</v>
      </c>
      <c r="E136" s="28" t="s">
        <v>19</v>
      </c>
      <c r="F136" s="28" t="s">
        <v>9</v>
      </c>
      <c r="G136" s="42">
        <v>190.54643999999999</v>
      </c>
      <c r="H136" s="39">
        <v>193.06102000000001</v>
      </c>
      <c r="I136" s="39">
        <v>193.43484000000001</v>
      </c>
      <c r="J136" s="6"/>
    </row>
    <row r="137" spans="1:10" ht="56.25" outlineLevel="6" x14ac:dyDescent="0.3">
      <c r="A137" s="4" t="s">
        <v>121</v>
      </c>
      <c r="B137" s="21" t="s">
        <v>372</v>
      </c>
      <c r="C137" s="23" t="s">
        <v>371</v>
      </c>
      <c r="D137" s="24"/>
      <c r="E137" s="25"/>
      <c r="F137" s="25"/>
      <c r="G137" s="36">
        <f>G138+G139</f>
        <v>1464.4391700000001</v>
      </c>
      <c r="H137" s="36">
        <f t="shared" ref="H137:I137" si="33">H138+H139</f>
        <v>1460</v>
      </c>
      <c r="I137" s="36">
        <f t="shared" si="33"/>
        <v>0</v>
      </c>
      <c r="J137" s="6"/>
    </row>
    <row r="138" spans="1:10" ht="112.5" outlineLevel="6" x14ac:dyDescent="0.3">
      <c r="A138" s="3"/>
      <c r="B138" s="19" t="s">
        <v>373</v>
      </c>
      <c r="C138" s="26" t="s">
        <v>374</v>
      </c>
      <c r="D138" s="27">
        <v>200</v>
      </c>
      <c r="E138" s="28" t="s">
        <v>19</v>
      </c>
      <c r="F138" s="28" t="s">
        <v>9</v>
      </c>
      <c r="G138" s="42">
        <v>1346.4839300000001</v>
      </c>
      <c r="H138" s="39">
        <v>1460</v>
      </c>
      <c r="I138" s="39">
        <v>0</v>
      </c>
      <c r="J138" s="6"/>
    </row>
    <row r="139" spans="1:10" ht="93.75" outlineLevel="6" x14ac:dyDescent="0.3">
      <c r="A139" s="3"/>
      <c r="B139" s="20" t="s">
        <v>492</v>
      </c>
      <c r="C139" s="38" t="s">
        <v>491</v>
      </c>
      <c r="D139" s="27">
        <v>200</v>
      </c>
      <c r="E139" s="28" t="s">
        <v>19</v>
      </c>
      <c r="F139" s="28" t="s">
        <v>9</v>
      </c>
      <c r="G139" s="42">
        <v>117.95524</v>
      </c>
      <c r="H139" s="42">
        <v>0</v>
      </c>
      <c r="I139" s="42">
        <v>0</v>
      </c>
      <c r="J139" s="6"/>
    </row>
    <row r="140" spans="1:10" ht="93.75" outlineLevel="6" x14ac:dyDescent="0.3">
      <c r="A140" s="4" t="s">
        <v>497</v>
      </c>
      <c r="B140" s="46" t="s">
        <v>493</v>
      </c>
      <c r="C140" s="45" t="s">
        <v>494</v>
      </c>
      <c r="D140" s="24"/>
      <c r="E140" s="25"/>
      <c r="F140" s="25"/>
      <c r="G140" s="47">
        <f>G141</f>
        <v>58.977620000000002</v>
      </c>
      <c r="H140" s="47">
        <f t="shared" ref="H140:I140" si="34">H141</f>
        <v>0</v>
      </c>
      <c r="I140" s="47">
        <f t="shared" si="34"/>
        <v>0</v>
      </c>
      <c r="J140" s="6"/>
    </row>
    <row r="141" spans="1:10" ht="93.75" outlineLevel="6" x14ac:dyDescent="0.3">
      <c r="A141" s="3"/>
      <c r="B141" s="20" t="s">
        <v>496</v>
      </c>
      <c r="C141" s="38" t="s">
        <v>495</v>
      </c>
      <c r="D141" s="27">
        <v>300</v>
      </c>
      <c r="E141" s="28" t="s">
        <v>19</v>
      </c>
      <c r="F141" s="28" t="s">
        <v>9</v>
      </c>
      <c r="G141" s="42">
        <v>58.977620000000002</v>
      </c>
      <c r="H141" s="42">
        <v>0</v>
      </c>
      <c r="I141" s="42">
        <v>0</v>
      </c>
      <c r="J141" s="6"/>
    </row>
    <row r="142" spans="1:10" ht="37.5" outlineLevel="6" x14ac:dyDescent="0.3">
      <c r="A142" s="4" t="s">
        <v>401</v>
      </c>
      <c r="B142" s="21" t="s">
        <v>47</v>
      </c>
      <c r="C142" s="23" t="s">
        <v>402</v>
      </c>
      <c r="D142" s="27"/>
      <c r="E142" s="25"/>
      <c r="F142" s="25"/>
      <c r="G142" s="43">
        <f>G143</f>
        <v>0</v>
      </c>
      <c r="H142" s="43">
        <f t="shared" ref="H142:I142" si="35">H143</f>
        <v>0</v>
      </c>
      <c r="I142" s="43">
        <f t="shared" si="35"/>
        <v>4813.2</v>
      </c>
      <c r="J142" s="6"/>
    </row>
    <row r="143" spans="1:10" ht="75" outlineLevel="6" x14ac:dyDescent="0.3">
      <c r="A143" s="3"/>
      <c r="B143" s="19" t="s">
        <v>316</v>
      </c>
      <c r="C143" s="37" t="s">
        <v>403</v>
      </c>
      <c r="D143" s="27">
        <v>400</v>
      </c>
      <c r="E143" s="28" t="s">
        <v>19</v>
      </c>
      <c r="F143" s="28" t="s">
        <v>17</v>
      </c>
      <c r="G143" s="39">
        <v>0</v>
      </c>
      <c r="H143" s="39">
        <v>0</v>
      </c>
      <c r="I143" s="39">
        <v>4813.2</v>
      </c>
      <c r="J143" s="6"/>
    </row>
    <row r="144" spans="1:10" ht="37.5" outlineLevel="6" x14ac:dyDescent="0.3">
      <c r="A144" s="4" t="s">
        <v>498</v>
      </c>
      <c r="B144" s="21" t="s">
        <v>397</v>
      </c>
      <c r="C144" s="23" t="s">
        <v>396</v>
      </c>
      <c r="D144" s="24"/>
      <c r="E144" s="25"/>
      <c r="F144" s="25"/>
      <c r="G144" s="43">
        <f>G145+G146</f>
        <v>4810.0853900000002</v>
      </c>
      <c r="H144" s="43">
        <f t="shared" ref="H144:I144" si="36">H145+H146</f>
        <v>4764.7</v>
      </c>
      <c r="I144" s="43">
        <f t="shared" si="36"/>
        <v>5535.2</v>
      </c>
      <c r="J144" s="6"/>
    </row>
    <row r="145" spans="1:10" ht="131.25" outlineLevel="6" x14ac:dyDescent="0.3">
      <c r="A145" s="3"/>
      <c r="B145" s="19" t="s">
        <v>399</v>
      </c>
      <c r="C145" s="18" t="s">
        <v>398</v>
      </c>
      <c r="D145" s="27">
        <v>100</v>
      </c>
      <c r="E145" s="28" t="s">
        <v>19</v>
      </c>
      <c r="F145" s="28" t="s">
        <v>9</v>
      </c>
      <c r="G145" s="39">
        <v>2998.3</v>
      </c>
      <c r="H145" s="39">
        <v>3264.7</v>
      </c>
      <c r="I145" s="39">
        <v>3535.2</v>
      </c>
      <c r="J145" s="6"/>
    </row>
    <row r="146" spans="1:10" ht="75" outlineLevel="6" x14ac:dyDescent="0.3">
      <c r="A146" s="3"/>
      <c r="B146" s="19" t="s">
        <v>400</v>
      </c>
      <c r="C146" s="18" t="s">
        <v>398</v>
      </c>
      <c r="D146" s="27">
        <v>200</v>
      </c>
      <c r="E146" s="28" t="s">
        <v>19</v>
      </c>
      <c r="F146" s="28" t="s">
        <v>9</v>
      </c>
      <c r="G146" s="42">
        <f>1393.5+418.28539</f>
        <v>1811.78539</v>
      </c>
      <c r="H146" s="39">
        <v>1500</v>
      </c>
      <c r="I146" s="39">
        <v>2000</v>
      </c>
      <c r="J146" s="6"/>
    </row>
    <row r="147" spans="1:10" ht="37.5" outlineLevel="1" x14ac:dyDescent="0.3">
      <c r="A147" s="4" t="s">
        <v>120</v>
      </c>
      <c r="B147" s="11" t="s">
        <v>51</v>
      </c>
      <c r="C147" s="23" t="s">
        <v>190</v>
      </c>
      <c r="D147" s="24"/>
      <c r="E147" s="25"/>
      <c r="F147" s="25"/>
      <c r="G147" s="32">
        <f>G148+G151</f>
        <v>21459.200000000001</v>
      </c>
      <c r="H147" s="32">
        <f t="shared" ref="H147:I147" si="37">H148+H151</f>
        <v>19687</v>
      </c>
      <c r="I147" s="32">
        <f t="shared" si="37"/>
        <v>20474.900000000001</v>
      </c>
      <c r="J147" s="6"/>
    </row>
    <row r="148" spans="1:10" ht="112.5" outlineLevel="2" x14ac:dyDescent="0.3">
      <c r="A148" s="4" t="s">
        <v>122</v>
      </c>
      <c r="B148" s="11" t="s">
        <v>52</v>
      </c>
      <c r="C148" s="23" t="s">
        <v>191</v>
      </c>
      <c r="D148" s="24"/>
      <c r="E148" s="25"/>
      <c r="F148" s="25"/>
      <c r="G148" s="32">
        <f>G149+G150</f>
        <v>2962.7</v>
      </c>
      <c r="H148" s="32">
        <f t="shared" ref="H148:I148" si="38">H149+H150</f>
        <v>2700.7</v>
      </c>
      <c r="I148" s="32">
        <f t="shared" si="38"/>
        <v>2808.7</v>
      </c>
      <c r="J148" s="6"/>
    </row>
    <row r="149" spans="1:10" ht="131.25" outlineLevel="6" x14ac:dyDescent="0.3">
      <c r="A149" s="3"/>
      <c r="B149" s="10" t="s">
        <v>290</v>
      </c>
      <c r="C149" s="26" t="s">
        <v>192</v>
      </c>
      <c r="D149" s="27" t="s">
        <v>0</v>
      </c>
      <c r="E149" s="28" t="s">
        <v>19</v>
      </c>
      <c r="F149" s="28" t="s">
        <v>17</v>
      </c>
      <c r="G149" s="42">
        <f>2596.2+294</f>
        <v>2890.2</v>
      </c>
      <c r="H149" s="39">
        <v>2700.7</v>
      </c>
      <c r="I149" s="39">
        <v>2808.7</v>
      </c>
      <c r="J149" s="6"/>
    </row>
    <row r="150" spans="1:10" ht="75" outlineLevel="6" x14ac:dyDescent="0.3">
      <c r="A150" s="3"/>
      <c r="B150" s="10" t="s">
        <v>291</v>
      </c>
      <c r="C150" s="26" t="s">
        <v>192</v>
      </c>
      <c r="D150" s="27" t="s">
        <v>1</v>
      </c>
      <c r="E150" s="28" t="s">
        <v>19</v>
      </c>
      <c r="F150" s="28" t="s">
        <v>17</v>
      </c>
      <c r="G150" s="39">
        <v>72.5</v>
      </c>
      <c r="H150" s="39">
        <v>0</v>
      </c>
      <c r="I150" s="39">
        <v>0</v>
      </c>
      <c r="J150" s="6"/>
    </row>
    <row r="151" spans="1:10" ht="56.25" outlineLevel="2" x14ac:dyDescent="0.3">
      <c r="A151" s="4" t="s">
        <v>123</v>
      </c>
      <c r="B151" s="11" t="s">
        <v>38</v>
      </c>
      <c r="C151" s="23" t="s">
        <v>193</v>
      </c>
      <c r="D151" s="24"/>
      <c r="E151" s="25"/>
      <c r="F151" s="25"/>
      <c r="G151" s="32">
        <f>G152+G153</f>
        <v>18496.5</v>
      </c>
      <c r="H151" s="32">
        <f t="shared" ref="H151:I151" si="39">H152+H153</f>
        <v>16986.3</v>
      </c>
      <c r="I151" s="32">
        <f t="shared" si="39"/>
        <v>17666.2</v>
      </c>
      <c r="J151" s="6"/>
    </row>
    <row r="152" spans="1:10" ht="150" outlineLevel="6" x14ac:dyDescent="0.3">
      <c r="A152" s="3"/>
      <c r="B152" s="10" t="s">
        <v>310</v>
      </c>
      <c r="C152" s="26" t="s">
        <v>370</v>
      </c>
      <c r="D152" s="27" t="s">
        <v>0</v>
      </c>
      <c r="E152" s="28" t="s">
        <v>19</v>
      </c>
      <c r="F152" s="28" t="s">
        <v>17</v>
      </c>
      <c r="G152" s="42">
        <f>16332.7+1893</f>
        <v>18225.7</v>
      </c>
      <c r="H152" s="39">
        <v>16986.3</v>
      </c>
      <c r="I152" s="39">
        <v>17666.2</v>
      </c>
      <c r="J152" s="6"/>
    </row>
    <row r="153" spans="1:10" ht="93.75" outlineLevel="6" x14ac:dyDescent="0.3">
      <c r="A153" s="3"/>
      <c r="B153" s="10" t="s">
        <v>311</v>
      </c>
      <c r="C153" s="26" t="s">
        <v>370</v>
      </c>
      <c r="D153" s="27" t="s">
        <v>1</v>
      </c>
      <c r="E153" s="28" t="s">
        <v>19</v>
      </c>
      <c r="F153" s="28" t="s">
        <v>17</v>
      </c>
      <c r="G153" s="42">
        <f>22.5+248.3</f>
        <v>270.8</v>
      </c>
      <c r="H153" s="39">
        <v>0</v>
      </c>
      <c r="I153" s="39">
        <v>0</v>
      </c>
      <c r="J153" s="6"/>
    </row>
    <row r="154" spans="1:10" ht="37.5" outlineLevel="1" x14ac:dyDescent="0.3">
      <c r="A154" s="4" t="s">
        <v>124</v>
      </c>
      <c r="B154" s="11" t="s">
        <v>53</v>
      </c>
      <c r="C154" s="23" t="s">
        <v>194</v>
      </c>
      <c r="D154" s="24"/>
      <c r="E154" s="25"/>
      <c r="F154" s="25"/>
      <c r="G154" s="32">
        <f>G155</f>
        <v>3563.5</v>
      </c>
      <c r="H154" s="32">
        <f t="shared" ref="H154:I154" si="40">H155</f>
        <v>2879.9</v>
      </c>
      <c r="I154" s="32">
        <f t="shared" si="40"/>
        <v>2995.4</v>
      </c>
      <c r="J154" s="6"/>
    </row>
    <row r="155" spans="1:10" ht="37.5" outlineLevel="2" x14ac:dyDescent="0.3">
      <c r="A155" s="4" t="s">
        <v>125</v>
      </c>
      <c r="B155" s="11" t="s">
        <v>54</v>
      </c>
      <c r="C155" s="23" t="s">
        <v>195</v>
      </c>
      <c r="D155" s="24"/>
      <c r="E155" s="25"/>
      <c r="F155" s="25"/>
      <c r="G155" s="32">
        <f>G156+G157</f>
        <v>3563.5</v>
      </c>
      <c r="H155" s="32">
        <f t="shared" ref="H155:I155" si="41">H156+H157</f>
        <v>2879.9</v>
      </c>
      <c r="I155" s="32">
        <f t="shared" si="41"/>
        <v>2995.4</v>
      </c>
      <c r="J155" s="6"/>
    </row>
    <row r="156" spans="1:10" ht="131.25" outlineLevel="6" x14ac:dyDescent="0.3">
      <c r="A156" s="3"/>
      <c r="B156" s="10" t="s">
        <v>312</v>
      </c>
      <c r="C156" s="26" t="s">
        <v>196</v>
      </c>
      <c r="D156" s="27" t="s">
        <v>0</v>
      </c>
      <c r="E156" s="28" t="s">
        <v>17</v>
      </c>
      <c r="F156" s="28" t="s">
        <v>20</v>
      </c>
      <c r="G156" s="42">
        <f>2769.1+218</f>
        <v>2987.1</v>
      </c>
      <c r="H156" s="39">
        <v>2879.9</v>
      </c>
      <c r="I156" s="39">
        <v>2995.4</v>
      </c>
      <c r="J156" s="6"/>
    </row>
    <row r="157" spans="1:10" ht="75" outlineLevel="6" x14ac:dyDescent="0.3">
      <c r="A157" s="3"/>
      <c r="B157" s="10" t="s">
        <v>313</v>
      </c>
      <c r="C157" s="26" t="s">
        <v>196</v>
      </c>
      <c r="D157" s="27" t="s">
        <v>1</v>
      </c>
      <c r="E157" s="28" t="s">
        <v>17</v>
      </c>
      <c r="F157" s="28" t="s">
        <v>20</v>
      </c>
      <c r="G157" s="39">
        <v>576.4</v>
      </c>
      <c r="H157" s="39">
        <v>0</v>
      </c>
      <c r="I157" s="39">
        <v>0</v>
      </c>
      <c r="J157" s="6"/>
    </row>
    <row r="158" spans="1:10" ht="75" x14ac:dyDescent="0.3">
      <c r="A158" s="4" t="s">
        <v>126</v>
      </c>
      <c r="B158" s="11" t="s">
        <v>411</v>
      </c>
      <c r="C158" s="23" t="s">
        <v>197</v>
      </c>
      <c r="D158" s="24"/>
      <c r="E158" s="25"/>
      <c r="F158" s="25"/>
      <c r="G158" s="32">
        <f>G162+G159</f>
        <v>196646.88672000001</v>
      </c>
      <c r="H158" s="32">
        <f>H162+H159</f>
        <v>766692.29999999993</v>
      </c>
      <c r="I158" s="32">
        <f>I162+I159</f>
        <v>255231.6</v>
      </c>
      <c r="J158" s="6"/>
    </row>
    <row r="159" spans="1:10" ht="37.5" x14ac:dyDescent="0.3">
      <c r="A159" s="4" t="s">
        <v>127</v>
      </c>
      <c r="B159" s="11" t="s">
        <v>420</v>
      </c>
      <c r="C159" s="23" t="s">
        <v>419</v>
      </c>
      <c r="D159" s="24"/>
      <c r="E159" s="25"/>
      <c r="F159" s="25"/>
      <c r="G159" s="32">
        <f>G161+G160</f>
        <v>50</v>
      </c>
      <c r="H159" s="32">
        <f t="shared" ref="H159:I159" si="42">H161+H160</f>
        <v>533240.19999999995</v>
      </c>
      <c r="I159" s="32">
        <f t="shared" si="42"/>
        <v>0</v>
      </c>
      <c r="J159" s="6"/>
    </row>
    <row r="160" spans="1:10" ht="37.5" x14ac:dyDescent="0.3">
      <c r="A160" s="4"/>
      <c r="B160" s="20" t="s">
        <v>500</v>
      </c>
      <c r="C160" s="38" t="s">
        <v>499</v>
      </c>
      <c r="D160" s="27">
        <v>800</v>
      </c>
      <c r="E160" s="28" t="s">
        <v>17</v>
      </c>
      <c r="F160" s="28" t="s">
        <v>12</v>
      </c>
      <c r="G160" s="42">
        <v>50</v>
      </c>
      <c r="H160" s="42">
        <v>0</v>
      </c>
      <c r="I160" s="42">
        <v>0</v>
      </c>
      <c r="J160" s="6"/>
    </row>
    <row r="161" spans="1:10" ht="150" x14ac:dyDescent="0.3">
      <c r="A161" s="4"/>
      <c r="B161" s="19" t="s">
        <v>422</v>
      </c>
      <c r="C161" s="18" t="s">
        <v>421</v>
      </c>
      <c r="D161" s="27">
        <v>400</v>
      </c>
      <c r="E161" s="28" t="s">
        <v>17</v>
      </c>
      <c r="F161" s="28" t="s">
        <v>12</v>
      </c>
      <c r="G161" s="39">
        <v>0</v>
      </c>
      <c r="H161" s="39">
        <v>533240.19999999995</v>
      </c>
      <c r="I161" s="39">
        <v>0</v>
      </c>
      <c r="J161" s="6"/>
    </row>
    <row r="162" spans="1:10" ht="37.5" outlineLevel="2" x14ac:dyDescent="0.3">
      <c r="A162" s="4" t="s">
        <v>418</v>
      </c>
      <c r="B162" s="11" t="s">
        <v>55</v>
      </c>
      <c r="C162" s="23" t="s">
        <v>198</v>
      </c>
      <c r="D162" s="24"/>
      <c r="E162" s="25"/>
      <c r="F162" s="25"/>
      <c r="G162" s="32">
        <f>G163+G164</f>
        <v>196596.88672000001</v>
      </c>
      <c r="H162" s="32">
        <f t="shared" ref="H162:I162" si="43">H163+H164</f>
        <v>233452.1</v>
      </c>
      <c r="I162" s="32">
        <f t="shared" si="43"/>
        <v>255231.6</v>
      </c>
      <c r="J162" s="6"/>
    </row>
    <row r="163" spans="1:10" ht="75" outlineLevel="6" x14ac:dyDescent="0.3">
      <c r="A163" s="3"/>
      <c r="B163" s="10" t="s">
        <v>314</v>
      </c>
      <c r="C163" s="26" t="s">
        <v>199</v>
      </c>
      <c r="D163" s="27" t="s">
        <v>1</v>
      </c>
      <c r="E163" s="28" t="s">
        <v>17</v>
      </c>
      <c r="F163" s="28" t="s">
        <v>12</v>
      </c>
      <c r="G163" s="42">
        <f>67668.18656-34723.51328</f>
        <v>32944.673280000003</v>
      </c>
      <c r="H163" s="42">
        <v>76404</v>
      </c>
      <c r="I163" s="42">
        <v>98183.5</v>
      </c>
      <c r="J163" s="6"/>
    </row>
    <row r="164" spans="1:10" ht="83.25" customHeight="1" outlineLevel="6" x14ac:dyDescent="0.3">
      <c r="A164" s="3"/>
      <c r="B164" s="10" t="s">
        <v>315</v>
      </c>
      <c r="C164" s="18" t="s">
        <v>417</v>
      </c>
      <c r="D164" s="27" t="s">
        <v>1</v>
      </c>
      <c r="E164" s="28" t="s">
        <v>17</v>
      </c>
      <c r="F164" s="28" t="s">
        <v>12</v>
      </c>
      <c r="G164" s="42">
        <v>163652.21343999999</v>
      </c>
      <c r="H164" s="42">
        <v>157048.1</v>
      </c>
      <c r="I164" s="42">
        <v>157048.1</v>
      </c>
      <c r="J164" s="6"/>
    </row>
    <row r="165" spans="1:10" ht="76.5" customHeight="1" x14ac:dyDescent="0.3">
      <c r="A165" s="4" t="s">
        <v>440</v>
      </c>
      <c r="B165" s="11" t="s">
        <v>412</v>
      </c>
      <c r="C165" s="23" t="s">
        <v>200</v>
      </c>
      <c r="D165" s="24"/>
      <c r="E165" s="25"/>
      <c r="F165" s="25"/>
      <c r="G165" s="32">
        <f>G166+G204+G259</f>
        <v>591695.85986999993</v>
      </c>
      <c r="H165" s="32">
        <f>H166+H204+H259</f>
        <v>596416.26115000003</v>
      </c>
      <c r="I165" s="32">
        <f>I166+I204+I259</f>
        <v>325598.64848000009</v>
      </c>
      <c r="J165" s="6"/>
    </row>
    <row r="166" spans="1:10" ht="37.5" outlineLevel="1" x14ac:dyDescent="0.3">
      <c r="A166" s="4" t="s">
        <v>442</v>
      </c>
      <c r="B166" s="11" t="s">
        <v>56</v>
      </c>
      <c r="C166" s="23" t="s">
        <v>201</v>
      </c>
      <c r="D166" s="24"/>
      <c r="E166" s="25"/>
      <c r="F166" s="25"/>
      <c r="G166" s="32">
        <f>G167+G171+G173+G175+G178+G180+G186+G188+G190+G200+G196+G202+G198</f>
        <v>387807.72034</v>
      </c>
      <c r="H166" s="32">
        <f t="shared" ref="H166:I166" si="44">H167+H171+H173+H175+H178+H180+H186+H188+H190+H200+H196+H202+H198</f>
        <v>409119.54999999993</v>
      </c>
      <c r="I166" s="32">
        <f t="shared" si="44"/>
        <v>144395</v>
      </c>
      <c r="J166" s="6"/>
    </row>
    <row r="167" spans="1:10" ht="43.5" customHeight="1" outlineLevel="2" x14ac:dyDescent="0.3">
      <c r="A167" s="4" t="s">
        <v>441</v>
      </c>
      <c r="B167" s="11" t="s">
        <v>37</v>
      </c>
      <c r="C167" s="23" t="s">
        <v>202</v>
      </c>
      <c r="D167" s="24"/>
      <c r="E167" s="25"/>
      <c r="F167" s="25"/>
      <c r="G167" s="32">
        <f>G168+G169+G170</f>
        <v>13655</v>
      </c>
      <c r="H167" s="32">
        <f t="shared" ref="H167:I167" si="45">H168+H169+H170</f>
        <v>12656.272800000001</v>
      </c>
      <c r="I167" s="32">
        <f t="shared" si="45"/>
        <v>14000.124100000001</v>
      </c>
      <c r="J167" s="6"/>
    </row>
    <row r="168" spans="1:10" ht="131.25" outlineLevel="6" x14ac:dyDescent="0.3">
      <c r="A168" s="3"/>
      <c r="B168" s="10" t="s">
        <v>290</v>
      </c>
      <c r="C168" s="26" t="s">
        <v>203</v>
      </c>
      <c r="D168" s="27" t="s">
        <v>0</v>
      </c>
      <c r="E168" s="28" t="s">
        <v>9</v>
      </c>
      <c r="F168" s="28" t="s">
        <v>15</v>
      </c>
      <c r="G168" s="42">
        <f>10436+950</f>
        <v>11386</v>
      </c>
      <c r="H168" s="42">
        <v>10885</v>
      </c>
      <c r="I168" s="39">
        <v>11320</v>
      </c>
      <c r="J168" s="6"/>
    </row>
    <row r="169" spans="1:10" ht="75" outlineLevel="6" x14ac:dyDescent="0.3">
      <c r="A169" s="3"/>
      <c r="B169" s="10" t="s">
        <v>291</v>
      </c>
      <c r="C169" s="26" t="s">
        <v>203</v>
      </c>
      <c r="D169" s="27" t="s">
        <v>1</v>
      </c>
      <c r="E169" s="28" t="s">
        <v>9</v>
      </c>
      <c r="F169" s="28" t="s">
        <v>15</v>
      </c>
      <c r="G169" s="42">
        <f>2064+205</f>
        <v>2269</v>
      </c>
      <c r="H169" s="42">
        <f>1777.35-8.43281-0.64439</f>
        <v>1768.2728</v>
      </c>
      <c r="I169" s="39">
        <f>2680+0.1241</f>
        <v>2680.1241</v>
      </c>
      <c r="J169" s="6"/>
    </row>
    <row r="170" spans="1:10" ht="56.25" outlineLevel="6" x14ac:dyDescent="0.3">
      <c r="A170" s="3"/>
      <c r="B170" s="10" t="s">
        <v>317</v>
      </c>
      <c r="C170" s="26" t="s">
        <v>203</v>
      </c>
      <c r="D170" s="27" t="s">
        <v>5</v>
      </c>
      <c r="E170" s="28" t="s">
        <v>9</v>
      </c>
      <c r="F170" s="28" t="s">
        <v>15</v>
      </c>
      <c r="G170" s="39">
        <v>0</v>
      </c>
      <c r="H170" s="39">
        <v>3</v>
      </c>
      <c r="I170" s="39">
        <v>0</v>
      </c>
      <c r="J170" s="6"/>
    </row>
    <row r="171" spans="1:10" ht="56.25" outlineLevel="2" x14ac:dyDescent="0.3">
      <c r="A171" s="4" t="s">
        <v>443</v>
      </c>
      <c r="B171" s="11" t="s">
        <v>57</v>
      </c>
      <c r="C171" s="23" t="s">
        <v>204</v>
      </c>
      <c r="D171" s="24"/>
      <c r="E171" s="25"/>
      <c r="F171" s="25"/>
      <c r="G171" s="32">
        <f>G172</f>
        <v>226</v>
      </c>
      <c r="H171" s="32">
        <f t="shared" ref="H171:I171" si="46">H172</f>
        <v>500</v>
      </c>
      <c r="I171" s="32">
        <f t="shared" si="46"/>
        <v>500</v>
      </c>
      <c r="J171" s="6"/>
    </row>
    <row r="172" spans="1:10" ht="131.25" outlineLevel="6" x14ac:dyDescent="0.3">
      <c r="A172" s="3"/>
      <c r="B172" s="10" t="s">
        <v>318</v>
      </c>
      <c r="C172" s="26" t="s">
        <v>205</v>
      </c>
      <c r="D172" s="27" t="s">
        <v>3</v>
      </c>
      <c r="E172" s="28" t="s">
        <v>9</v>
      </c>
      <c r="F172" s="28" t="s">
        <v>13</v>
      </c>
      <c r="G172" s="42">
        <v>226</v>
      </c>
      <c r="H172" s="39">
        <v>500</v>
      </c>
      <c r="I172" s="39">
        <v>500</v>
      </c>
      <c r="J172" s="6"/>
    </row>
    <row r="173" spans="1:10" ht="37.5" outlineLevel="2" x14ac:dyDescent="0.3">
      <c r="A173" s="4" t="s">
        <v>444</v>
      </c>
      <c r="B173" s="11" t="s">
        <v>58</v>
      </c>
      <c r="C173" s="23" t="s">
        <v>206</v>
      </c>
      <c r="D173" s="24"/>
      <c r="E173" s="25"/>
      <c r="F173" s="25"/>
      <c r="G173" s="32">
        <f>G174</f>
        <v>237.85220000000001</v>
      </c>
      <c r="H173" s="32">
        <f t="shared" ref="H173:I173" si="47">H174</f>
        <v>99.077200000000005</v>
      </c>
      <c r="I173" s="32">
        <f t="shared" si="47"/>
        <v>10.8759</v>
      </c>
      <c r="J173" s="6"/>
    </row>
    <row r="174" spans="1:10" ht="56.25" outlineLevel="6" x14ac:dyDescent="0.3">
      <c r="A174" s="3"/>
      <c r="B174" s="10" t="s">
        <v>319</v>
      </c>
      <c r="C174" s="26" t="s">
        <v>207</v>
      </c>
      <c r="D174" s="27" t="s">
        <v>6</v>
      </c>
      <c r="E174" s="28" t="s">
        <v>16</v>
      </c>
      <c r="F174" s="28" t="s">
        <v>9</v>
      </c>
      <c r="G174" s="42">
        <v>237.85220000000001</v>
      </c>
      <c r="H174" s="42">
        <f>98.43281+0.64439</f>
        <v>99.077200000000005</v>
      </c>
      <c r="I174" s="42">
        <f>10.8759</f>
        <v>10.8759</v>
      </c>
      <c r="J174" s="6"/>
    </row>
    <row r="175" spans="1:10" ht="56.25" outlineLevel="2" x14ac:dyDescent="0.3">
      <c r="A175" s="4" t="s">
        <v>445</v>
      </c>
      <c r="B175" s="11" t="s">
        <v>59</v>
      </c>
      <c r="C175" s="23" t="s">
        <v>208</v>
      </c>
      <c r="D175" s="24"/>
      <c r="E175" s="25"/>
      <c r="F175" s="25"/>
      <c r="G175" s="32">
        <f>G176+G177</f>
        <v>30641</v>
      </c>
      <c r="H175" s="32">
        <f t="shared" ref="H175:I175" si="48">H176+H177</f>
        <v>30199</v>
      </c>
      <c r="I175" s="32">
        <f t="shared" si="48"/>
        <v>32053</v>
      </c>
      <c r="J175" s="6"/>
    </row>
    <row r="176" spans="1:10" ht="56.25" outlineLevel="6" x14ac:dyDescent="0.3">
      <c r="A176" s="3"/>
      <c r="B176" s="10" t="s">
        <v>320</v>
      </c>
      <c r="C176" s="26" t="s">
        <v>209</v>
      </c>
      <c r="D176" s="27" t="s">
        <v>7</v>
      </c>
      <c r="E176" s="28" t="s">
        <v>18</v>
      </c>
      <c r="F176" s="28" t="s">
        <v>9</v>
      </c>
      <c r="G176" s="39">
        <v>11063</v>
      </c>
      <c r="H176" s="39">
        <v>9691</v>
      </c>
      <c r="I176" s="39">
        <v>10004</v>
      </c>
      <c r="J176" s="6"/>
    </row>
    <row r="177" spans="1:10" ht="56.25" outlineLevel="6" x14ac:dyDescent="0.3">
      <c r="A177" s="3"/>
      <c r="B177" s="10" t="s">
        <v>321</v>
      </c>
      <c r="C177" s="26" t="s">
        <v>210</v>
      </c>
      <c r="D177" s="27" t="s">
        <v>7</v>
      </c>
      <c r="E177" s="28" t="s">
        <v>18</v>
      </c>
      <c r="F177" s="28" t="s">
        <v>9</v>
      </c>
      <c r="G177" s="39">
        <v>19578</v>
      </c>
      <c r="H177" s="39">
        <v>20508</v>
      </c>
      <c r="I177" s="39">
        <v>22049</v>
      </c>
      <c r="J177" s="6"/>
    </row>
    <row r="178" spans="1:10" ht="60.75" customHeight="1" outlineLevel="2" x14ac:dyDescent="0.3">
      <c r="A178" s="4" t="s">
        <v>446</v>
      </c>
      <c r="B178" s="11" t="s">
        <v>60</v>
      </c>
      <c r="C178" s="23" t="s">
        <v>211</v>
      </c>
      <c r="D178" s="24"/>
      <c r="E178" s="25"/>
      <c r="F178" s="25"/>
      <c r="G178" s="32">
        <f>G179</f>
        <v>28694.6</v>
      </c>
      <c r="H178" s="32">
        <f t="shared" ref="H178:I178" si="49">H179</f>
        <v>0</v>
      </c>
      <c r="I178" s="32">
        <f t="shared" si="49"/>
        <v>0</v>
      </c>
      <c r="J178" s="6"/>
    </row>
    <row r="179" spans="1:10" ht="56.25" outlineLevel="6" x14ac:dyDescent="0.3">
      <c r="A179" s="3"/>
      <c r="B179" s="10" t="s">
        <v>322</v>
      </c>
      <c r="C179" s="26" t="s">
        <v>212</v>
      </c>
      <c r="D179" s="27" t="s">
        <v>7</v>
      </c>
      <c r="E179" s="28" t="s">
        <v>18</v>
      </c>
      <c r="F179" s="28" t="s">
        <v>11</v>
      </c>
      <c r="G179" s="39">
        <v>28694.6</v>
      </c>
      <c r="H179" s="39">
        <v>0</v>
      </c>
      <c r="I179" s="39">
        <v>0</v>
      </c>
      <c r="J179" s="6"/>
    </row>
    <row r="180" spans="1:10" ht="37.5" outlineLevel="2" x14ac:dyDescent="0.3">
      <c r="A180" s="4" t="s">
        <v>447</v>
      </c>
      <c r="B180" s="11" t="s">
        <v>61</v>
      </c>
      <c r="C180" s="23" t="s">
        <v>213</v>
      </c>
      <c r="D180" s="24"/>
      <c r="E180" s="25"/>
      <c r="F180" s="25"/>
      <c r="G180" s="32">
        <f>G181+G182+G183+G184+G185</f>
        <v>177251.55210999999</v>
      </c>
      <c r="H180" s="32">
        <f t="shared" ref="H180:I180" si="50">H181+H182+H183+H184+H185</f>
        <v>0</v>
      </c>
      <c r="I180" s="32">
        <f t="shared" si="50"/>
        <v>2000</v>
      </c>
      <c r="J180" s="6"/>
    </row>
    <row r="181" spans="1:10" ht="112.5" outlineLevel="6" x14ac:dyDescent="0.3">
      <c r="A181" s="3"/>
      <c r="B181" s="10" t="s">
        <v>323</v>
      </c>
      <c r="C181" s="26" t="s">
        <v>214</v>
      </c>
      <c r="D181" s="27" t="s">
        <v>7</v>
      </c>
      <c r="E181" s="28" t="s">
        <v>18</v>
      </c>
      <c r="F181" s="28" t="s">
        <v>11</v>
      </c>
      <c r="G181" s="39">
        <v>5000</v>
      </c>
      <c r="H181" s="39">
        <v>0</v>
      </c>
      <c r="I181" s="39">
        <v>2000</v>
      </c>
      <c r="J181" s="6"/>
    </row>
    <row r="182" spans="1:10" ht="37.5" outlineLevel="6" x14ac:dyDescent="0.3">
      <c r="A182" s="3"/>
      <c r="B182" s="19" t="s">
        <v>503</v>
      </c>
      <c r="C182" s="37" t="s">
        <v>502</v>
      </c>
      <c r="D182" s="27" t="s">
        <v>7</v>
      </c>
      <c r="E182" s="38" t="s">
        <v>17</v>
      </c>
      <c r="F182" s="38" t="s">
        <v>12</v>
      </c>
      <c r="G182" s="42">
        <f>47679.27133</f>
        <v>47679.271330000003</v>
      </c>
      <c r="H182" s="42">
        <v>0</v>
      </c>
      <c r="I182" s="42">
        <v>0</v>
      </c>
      <c r="J182" s="6"/>
    </row>
    <row r="183" spans="1:10" ht="37.5" outlineLevel="6" x14ac:dyDescent="0.3">
      <c r="A183" s="3"/>
      <c r="B183" s="19" t="s">
        <v>503</v>
      </c>
      <c r="C183" s="37" t="s">
        <v>502</v>
      </c>
      <c r="D183" s="27" t="s">
        <v>7</v>
      </c>
      <c r="E183" s="18" t="s">
        <v>21</v>
      </c>
      <c r="F183" s="18" t="s">
        <v>9</v>
      </c>
      <c r="G183" s="48">
        <f>12000+60211.53191</f>
        <v>72211.531909999991</v>
      </c>
      <c r="H183" s="48">
        <v>0</v>
      </c>
      <c r="I183" s="48">
        <v>0</v>
      </c>
      <c r="J183" s="6"/>
    </row>
    <row r="184" spans="1:10" ht="37.5" outlineLevel="6" x14ac:dyDescent="0.3">
      <c r="A184" s="3"/>
      <c r="B184" s="19" t="s">
        <v>503</v>
      </c>
      <c r="C184" s="37" t="s">
        <v>502</v>
      </c>
      <c r="D184" s="27" t="s">
        <v>7</v>
      </c>
      <c r="E184" s="38" t="s">
        <v>21</v>
      </c>
      <c r="F184" s="38" t="s">
        <v>11</v>
      </c>
      <c r="G184" s="42">
        <f>3119.3</f>
        <v>3119.3</v>
      </c>
      <c r="H184" s="42">
        <v>0</v>
      </c>
      <c r="I184" s="42">
        <v>0</v>
      </c>
      <c r="J184" s="6"/>
    </row>
    <row r="185" spans="1:10" ht="37.5" outlineLevel="6" x14ac:dyDescent="0.3">
      <c r="A185" s="3"/>
      <c r="B185" s="19" t="s">
        <v>503</v>
      </c>
      <c r="C185" s="37" t="s">
        <v>502</v>
      </c>
      <c r="D185" s="27" t="s">
        <v>7</v>
      </c>
      <c r="E185" s="49" t="s">
        <v>18</v>
      </c>
      <c r="F185" s="49" t="s">
        <v>11</v>
      </c>
      <c r="G185" s="50">
        <f>10048.2+39193.24887</f>
        <v>49241.448870000007</v>
      </c>
      <c r="H185" s="50">
        <v>0</v>
      </c>
      <c r="I185" s="50">
        <v>0</v>
      </c>
      <c r="J185" s="6"/>
    </row>
    <row r="186" spans="1:10" ht="56.25" outlineLevel="2" x14ac:dyDescent="0.3">
      <c r="A186" s="4" t="s">
        <v>448</v>
      </c>
      <c r="B186" s="11" t="s">
        <v>62</v>
      </c>
      <c r="C186" s="23" t="s">
        <v>215</v>
      </c>
      <c r="D186" s="24"/>
      <c r="E186" s="25"/>
      <c r="F186" s="25"/>
      <c r="G186" s="32">
        <f>G187</f>
        <v>29621.006720000001</v>
      </c>
      <c r="H186" s="32">
        <f t="shared" ref="H186:I186" si="51">H187</f>
        <v>0</v>
      </c>
      <c r="I186" s="32">
        <f t="shared" si="51"/>
        <v>0</v>
      </c>
      <c r="J186" s="6"/>
    </row>
    <row r="187" spans="1:10" ht="56.25" outlineLevel="6" x14ac:dyDescent="0.3">
      <c r="A187" s="3"/>
      <c r="B187" s="10" t="s">
        <v>324</v>
      </c>
      <c r="C187" s="26" t="s">
        <v>216</v>
      </c>
      <c r="D187" s="27" t="s">
        <v>3</v>
      </c>
      <c r="E187" s="28" t="s">
        <v>9</v>
      </c>
      <c r="F187" s="28" t="s">
        <v>16</v>
      </c>
      <c r="G187" s="42">
        <f>71.00672+29550</f>
        <v>29621.006720000001</v>
      </c>
      <c r="H187" s="39">
        <v>0</v>
      </c>
      <c r="I187" s="39">
        <v>0</v>
      </c>
      <c r="J187" s="6"/>
    </row>
    <row r="188" spans="1:10" ht="56.25" outlineLevel="6" x14ac:dyDescent="0.3">
      <c r="A188" s="4" t="s">
        <v>449</v>
      </c>
      <c r="B188" s="19" t="s">
        <v>376</v>
      </c>
      <c r="C188" s="23" t="s">
        <v>375</v>
      </c>
      <c r="D188" s="24"/>
      <c r="E188" s="25"/>
      <c r="F188" s="25"/>
      <c r="G188" s="36">
        <f>G189</f>
        <v>74459.600000000006</v>
      </c>
      <c r="H188" s="36">
        <f t="shared" ref="H188:I188" si="52">H189</f>
        <v>349907.1</v>
      </c>
      <c r="I188" s="36">
        <f t="shared" si="52"/>
        <v>79648.899999999994</v>
      </c>
      <c r="J188" s="6"/>
    </row>
    <row r="189" spans="1:10" ht="37.5" outlineLevel="6" x14ac:dyDescent="0.3">
      <c r="A189" s="3"/>
      <c r="B189" s="19" t="s">
        <v>326</v>
      </c>
      <c r="C189" s="18" t="s">
        <v>391</v>
      </c>
      <c r="D189" s="27">
        <v>500</v>
      </c>
      <c r="E189" s="28" t="s">
        <v>21</v>
      </c>
      <c r="F189" s="28" t="s">
        <v>21</v>
      </c>
      <c r="G189" s="42">
        <v>74459.600000000006</v>
      </c>
      <c r="H189" s="39">
        <v>349907.1</v>
      </c>
      <c r="I189" s="39">
        <v>79648.899999999994</v>
      </c>
      <c r="J189" s="6"/>
    </row>
    <row r="190" spans="1:10" ht="93.75" outlineLevel="2" x14ac:dyDescent="0.3">
      <c r="A190" s="4" t="s">
        <v>450</v>
      </c>
      <c r="B190" s="11" t="s">
        <v>63</v>
      </c>
      <c r="C190" s="23" t="s">
        <v>217</v>
      </c>
      <c r="D190" s="24"/>
      <c r="E190" s="25"/>
      <c r="F190" s="25"/>
      <c r="G190" s="32">
        <f>G192+G191+G193+G194+G195</f>
        <v>23553.600000000002</v>
      </c>
      <c r="H190" s="32">
        <f t="shared" ref="H190:I190" si="53">H192+H191+H193+H194+H195</f>
        <v>15758.1</v>
      </c>
      <c r="I190" s="32">
        <f t="shared" si="53"/>
        <v>16182.1</v>
      </c>
      <c r="J190" s="6"/>
    </row>
    <row r="191" spans="1:10" ht="56.25" outlineLevel="6" x14ac:dyDescent="0.3">
      <c r="A191" s="3"/>
      <c r="B191" s="10" t="s">
        <v>325</v>
      </c>
      <c r="C191" s="26" t="s">
        <v>218</v>
      </c>
      <c r="D191" s="27" t="s">
        <v>7</v>
      </c>
      <c r="E191" s="28" t="s">
        <v>17</v>
      </c>
      <c r="F191" s="28" t="s">
        <v>12</v>
      </c>
      <c r="G191" s="39">
        <v>5000</v>
      </c>
      <c r="H191" s="39">
        <v>5000</v>
      </c>
      <c r="I191" s="39">
        <v>5000</v>
      </c>
      <c r="J191" s="6"/>
    </row>
    <row r="192" spans="1:10" ht="37.5" outlineLevel="6" x14ac:dyDescent="0.3">
      <c r="A192" s="3"/>
      <c r="B192" s="10" t="s">
        <v>327</v>
      </c>
      <c r="C192" s="26" t="s">
        <v>219</v>
      </c>
      <c r="D192" s="27" t="s">
        <v>7</v>
      </c>
      <c r="E192" s="28" t="s">
        <v>17</v>
      </c>
      <c r="F192" s="28" t="s">
        <v>20</v>
      </c>
      <c r="G192" s="39">
        <v>1444.9</v>
      </c>
      <c r="H192" s="39">
        <v>1584.5</v>
      </c>
      <c r="I192" s="39">
        <v>2008.5</v>
      </c>
      <c r="J192" s="6"/>
    </row>
    <row r="193" spans="1:10" ht="43.5" customHeight="1" outlineLevel="6" x14ac:dyDescent="0.3">
      <c r="A193" s="3"/>
      <c r="B193" s="19" t="s">
        <v>392</v>
      </c>
      <c r="C193" s="26" t="s">
        <v>393</v>
      </c>
      <c r="D193" s="27" t="s">
        <v>7</v>
      </c>
      <c r="E193" s="28" t="s">
        <v>21</v>
      </c>
      <c r="F193" s="28" t="s">
        <v>11</v>
      </c>
      <c r="G193" s="39">
        <v>9173.6</v>
      </c>
      <c r="H193" s="39">
        <v>9173.6</v>
      </c>
      <c r="I193" s="39">
        <v>9173.6</v>
      </c>
      <c r="J193" s="6"/>
    </row>
    <row r="194" spans="1:10" ht="131.25" outlineLevel="6" x14ac:dyDescent="0.3">
      <c r="A194" s="3"/>
      <c r="B194" s="20" t="s">
        <v>504</v>
      </c>
      <c r="C194" s="44" t="s">
        <v>505</v>
      </c>
      <c r="D194" s="27" t="s">
        <v>7</v>
      </c>
      <c r="E194" s="38" t="s">
        <v>21</v>
      </c>
      <c r="F194" s="38" t="s">
        <v>10</v>
      </c>
      <c r="G194" s="42">
        <v>3898.2</v>
      </c>
      <c r="H194" s="42">
        <v>0</v>
      </c>
      <c r="I194" s="42">
        <v>0</v>
      </c>
      <c r="J194" s="6"/>
    </row>
    <row r="195" spans="1:10" ht="43.5" customHeight="1" outlineLevel="6" x14ac:dyDescent="0.3">
      <c r="A195" s="3"/>
      <c r="B195" s="20" t="s">
        <v>503</v>
      </c>
      <c r="C195" s="44" t="s">
        <v>506</v>
      </c>
      <c r="D195" s="27" t="s">
        <v>7</v>
      </c>
      <c r="E195" s="38" t="s">
        <v>21</v>
      </c>
      <c r="F195" s="38" t="s">
        <v>10</v>
      </c>
      <c r="G195" s="42">
        <f>36.9+4000</f>
        <v>4036.9</v>
      </c>
      <c r="H195" s="42">
        <v>0</v>
      </c>
      <c r="I195" s="42">
        <v>0</v>
      </c>
      <c r="J195" s="6"/>
    </row>
    <row r="196" spans="1:10" ht="43.5" customHeight="1" outlineLevel="6" x14ac:dyDescent="0.3">
      <c r="A196" s="4" t="s">
        <v>451</v>
      </c>
      <c r="B196" s="21" t="s">
        <v>507</v>
      </c>
      <c r="C196" s="51" t="s">
        <v>508</v>
      </c>
      <c r="D196" s="24"/>
      <c r="E196" s="22"/>
      <c r="F196" s="22"/>
      <c r="G196" s="47">
        <f>G197</f>
        <v>5550</v>
      </c>
      <c r="H196" s="47">
        <f t="shared" ref="H196:I196" si="54">H197</f>
        <v>0</v>
      </c>
      <c r="I196" s="47">
        <f t="shared" si="54"/>
        <v>0</v>
      </c>
      <c r="J196" s="6"/>
    </row>
    <row r="197" spans="1:10" ht="56.25" outlineLevel="2" x14ac:dyDescent="0.3">
      <c r="A197" s="4"/>
      <c r="B197" s="19" t="s">
        <v>510</v>
      </c>
      <c r="C197" s="37" t="s">
        <v>509</v>
      </c>
      <c r="D197" s="27" t="s">
        <v>7</v>
      </c>
      <c r="E197" s="18" t="s">
        <v>21</v>
      </c>
      <c r="F197" s="18" t="s">
        <v>11</v>
      </c>
      <c r="G197" s="42">
        <v>5550</v>
      </c>
      <c r="H197" s="42">
        <v>0</v>
      </c>
      <c r="I197" s="42">
        <v>0</v>
      </c>
      <c r="J197" s="6"/>
    </row>
    <row r="198" spans="1:10" ht="37.5" outlineLevel="2" x14ac:dyDescent="0.3">
      <c r="A198" s="4" t="s">
        <v>531</v>
      </c>
      <c r="B198" s="46" t="s">
        <v>514</v>
      </c>
      <c r="C198" s="54" t="s">
        <v>515</v>
      </c>
      <c r="D198" s="24"/>
      <c r="E198" s="22"/>
      <c r="F198" s="22"/>
      <c r="G198" s="47">
        <f>G199</f>
        <v>863.54530999999997</v>
      </c>
      <c r="H198" s="47">
        <f t="shared" ref="H198:I198" si="55">H199</f>
        <v>0</v>
      </c>
      <c r="I198" s="47">
        <f t="shared" si="55"/>
        <v>0</v>
      </c>
      <c r="J198" s="6"/>
    </row>
    <row r="199" spans="1:10" ht="56.25" outlineLevel="2" x14ac:dyDescent="0.3">
      <c r="A199" s="4"/>
      <c r="B199" s="20" t="s">
        <v>517</v>
      </c>
      <c r="C199" s="44" t="s">
        <v>516</v>
      </c>
      <c r="D199" s="27" t="s">
        <v>7</v>
      </c>
      <c r="E199" s="18" t="s">
        <v>21</v>
      </c>
      <c r="F199" s="18" t="s">
        <v>11</v>
      </c>
      <c r="G199" s="42">
        <v>863.54530999999997</v>
      </c>
      <c r="H199" s="42">
        <v>0</v>
      </c>
      <c r="I199" s="42">
        <v>0</v>
      </c>
      <c r="J199" s="6"/>
    </row>
    <row r="200" spans="1:10" ht="56.25" outlineLevel="2" x14ac:dyDescent="0.3">
      <c r="A200" s="4" t="s">
        <v>532</v>
      </c>
      <c r="B200" s="11" t="s">
        <v>64</v>
      </c>
      <c r="C200" s="23" t="s">
        <v>220</v>
      </c>
      <c r="D200" s="24"/>
      <c r="E200" s="25"/>
      <c r="F200" s="25"/>
      <c r="G200" s="32">
        <f>G201</f>
        <v>1853.9639999999999</v>
      </c>
      <c r="H200" s="32">
        <f t="shared" ref="H200:I200" si="56">H201</f>
        <v>0</v>
      </c>
      <c r="I200" s="32">
        <f t="shared" si="56"/>
        <v>0</v>
      </c>
      <c r="J200" s="6"/>
    </row>
    <row r="201" spans="1:10" ht="56.25" outlineLevel="6" x14ac:dyDescent="0.3">
      <c r="A201" s="3"/>
      <c r="B201" s="10" t="s">
        <v>328</v>
      </c>
      <c r="C201" s="26" t="s">
        <v>221</v>
      </c>
      <c r="D201" s="27" t="s">
        <v>7</v>
      </c>
      <c r="E201" s="28" t="s">
        <v>17</v>
      </c>
      <c r="F201" s="28" t="s">
        <v>20</v>
      </c>
      <c r="G201" s="29">
        <v>1853.9639999999999</v>
      </c>
      <c r="H201" s="29">
        <v>0</v>
      </c>
      <c r="I201" s="29">
        <v>0</v>
      </c>
      <c r="J201" s="6"/>
    </row>
    <row r="202" spans="1:10" ht="75" outlineLevel="6" x14ac:dyDescent="0.3">
      <c r="A202" s="4" t="s">
        <v>533</v>
      </c>
      <c r="B202" s="53" t="s">
        <v>511</v>
      </c>
      <c r="C202" s="23" t="s">
        <v>512</v>
      </c>
      <c r="D202" s="24"/>
      <c r="E202" s="25"/>
      <c r="F202" s="25"/>
      <c r="G202" s="36">
        <f>G203</f>
        <v>1200</v>
      </c>
      <c r="H202" s="36">
        <f t="shared" ref="H202:I202" si="57">H203</f>
        <v>0</v>
      </c>
      <c r="I202" s="36">
        <f t="shared" si="57"/>
        <v>0</v>
      </c>
      <c r="J202" s="6"/>
    </row>
    <row r="203" spans="1:10" ht="37.5" outlineLevel="6" x14ac:dyDescent="0.3">
      <c r="A203" s="3"/>
      <c r="B203" s="52" t="s">
        <v>503</v>
      </c>
      <c r="C203" s="26" t="s">
        <v>513</v>
      </c>
      <c r="D203" s="27" t="s">
        <v>7</v>
      </c>
      <c r="E203" s="49" t="s">
        <v>18</v>
      </c>
      <c r="F203" s="49" t="s">
        <v>11</v>
      </c>
      <c r="G203" s="50">
        <v>1200</v>
      </c>
      <c r="H203" s="50">
        <v>0</v>
      </c>
      <c r="I203" s="50">
        <v>0</v>
      </c>
      <c r="J203" s="6"/>
    </row>
    <row r="204" spans="1:10" ht="37.5" outlineLevel="1" x14ac:dyDescent="0.3">
      <c r="A204" s="4" t="s">
        <v>452</v>
      </c>
      <c r="B204" s="11" t="s">
        <v>65</v>
      </c>
      <c r="C204" s="23" t="s">
        <v>222</v>
      </c>
      <c r="D204" s="24"/>
      <c r="E204" s="25"/>
      <c r="F204" s="25"/>
      <c r="G204" s="32">
        <f>G205+G212+G222+G224+G226+G229+G231+G233+G235+G237+G245+G247+G250+G254+G257+G240+G252</f>
        <v>201070.19083999997</v>
      </c>
      <c r="H204" s="32">
        <f t="shared" ref="H204:I204" si="58">H205+H212+H222+H224+H226+H229+H231+H233+H235+H237+H245+H247+H250+H254+H257+H240+H252</f>
        <v>177307.01715000006</v>
      </c>
      <c r="I204" s="32">
        <f t="shared" si="58"/>
        <v>171163.95448000004</v>
      </c>
      <c r="J204" s="6"/>
    </row>
    <row r="205" spans="1:10" ht="56.25" outlineLevel="2" x14ac:dyDescent="0.3">
      <c r="A205" s="4" t="s">
        <v>453</v>
      </c>
      <c r="B205" s="11" t="s">
        <v>66</v>
      </c>
      <c r="C205" s="23" t="s">
        <v>223</v>
      </c>
      <c r="D205" s="24"/>
      <c r="E205" s="25"/>
      <c r="F205" s="25"/>
      <c r="G205" s="32">
        <f>G206+G207+G208+G209+G210+G211</f>
        <v>64479.247060000002</v>
      </c>
      <c r="H205" s="32">
        <f t="shared" ref="H205:I205" si="59">H206+H207+H208+H209+H210+H211</f>
        <v>61482.272000000012</v>
      </c>
      <c r="I205" s="32">
        <f t="shared" si="59"/>
        <v>62644.625999999997</v>
      </c>
      <c r="J205" s="6"/>
    </row>
    <row r="206" spans="1:10" ht="135" customHeight="1" outlineLevel="6" x14ac:dyDescent="0.3">
      <c r="A206" s="3"/>
      <c r="B206" s="10" t="s">
        <v>302</v>
      </c>
      <c r="C206" s="26" t="s">
        <v>224</v>
      </c>
      <c r="D206" s="27" t="s">
        <v>0</v>
      </c>
      <c r="E206" s="28" t="s">
        <v>9</v>
      </c>
      <c r="F206" s="28" t="s">
        <v>16</v>
      </c>
      <c r="G206" s="42">
        <f>11063.09+25955.615+5601.595+3094+172-1329</f>
        <v>44557.3</v>
      </c>
      <c r="H206" s="39">
        <f>11771.964+27031.162+5810.4</f>
        <v>44613.526000000005</v>
      </c>
      <c r="I206" s="39">
        <f>11976.318+28108.81+6042.15</f>
        <v>46127.277999999998</v>
      </c>
      <c r="J206" s="6"/>
    </row>
    <row r="207" spans="1:10" ht="150" outlineLevel="6" x14ac:dyDescent="0.3">
      <c r="A207" s="3"/>
      <c r="B207" s="10" t="s">
        <v>302</v>
      </c>
      <c r="C207" s="26" t="s">
        <v>224</v>
      </c>
      <c r="D207" s="27" t="s">
        <v>0</v>
      </c>
      <c r="E207" s="28" t="s">
        <v>17</v>
      </c>
      <c r="F207" s="28" t="s">
        <v>21</v>
      </c>
      <c r="G207" s="42">
        <f>8797+430</f>
        <v>9227</v>
      </c>
      <c r="H207" s="39">
        <v>9173.83</v>
      </c>
      <c r="I207" s="39">
        <v>9526.75</v>
      </c>
      <c r="J207" s="6"/>
    </row>
    <row r="208" spans="1:10" ht="74.25" customHeight="1" outlineLevel="6" x14ac:dyDescent="0.3">
      <c r="A208" s="3"/>
      <c r="B208" s="10" t="s">
        <v>303</v>
      </c>
      <c r="C208" s="26" t="s">
        <v>224</v>
      </c>
      <c r="D208" s="27" t="s">
        <v>1</v>
      </c>
      <c r="E208" s="28" t="s">
        <v>9</v>
      </c>
      <c r="F208" s="28" t="s">
        <v>16</v>
      </c>
      <c r="G208" s="42">
        <f>1716.408+6935.385+580.405+100+19.72006+81.729+16</f>
        <v>9449.6470599999993</v>
      </c>
      <c r="H208" s="39">
        <f>1720.008+4459.838+456.6</f>
        <v>6636.4459999999999</v>
      </c>
      <c r="I208" s="39">
        <f>1725.408+3882.19+317.45</f>
        <v>5925.0479999999998</v>
      </c>
      <c r="J208" s="6"/>
    </row>
    <row r="209" spans="1:10" ht="93.75" outlineLevel="6" x14ac:dyDescent="0.3">
      <c r="A209" s="3"/>
      <c r="B209" s="10" t="s">
        <v>303</v>
      </c>
      <c r="C209" s="26" t="s">
        <v>224</v>
      </c>
      <c r="D209" s="27" t="s">
        <v>1</v>
      </c>
      <c r="E209" s="28" t="s">
        <v>17</v>
      </c>
      <c r="F209" s="28" t="s">
        <v>21</v>
      </c>
      <c r="G209" s="39">
        <v>1217.45</v>
      </c>
      <c r="H209" s="39">
        <v>1030.6199999999999</v>
      </c>
      <c r="I209" s="39">
        <v>1037.7</v>
      </c>
      <c r="J209" s="6"/>
    </row>
    <row r="210" spans="1:10" ht="75" outlineLevel="6" x14ac:dyDescent="0.3">
      <c r="A210" s="3"/>
      <c r="B210" s="10" t="s">
        <v>329</v>
      </c>
      <c r="C210" s="26" t="s">
        <v>224</v>
      </c>
      <c r="D210" s="27" t="s">
        <v>5</v>
      </c>
      <c r="E210" s="28" t="s">
        <v>9</v>
      </c>
      <c r="F210" s="28" t="s">
        <v>16</v>
      </c>
      <c r="G210" s="39">
        <f>9</f>
        <v>9</v>
      </c>
      <c r="H210" s="39">
        <f>9</f>
        <v>9</v>
      </c>
      <c r="I210" s="39">
        <f>9</f>
        <v>9</v>
      </c>
      <c r="J210" s="6"/>
    </row>
    <row r="211" spans="1:10" ht="56.25" outlineLevel="6" x14ac:dyDescent="0.3">
      <c r="A211" s="3"/>
      <c r="B211" s="10" t="s">
        <v>330</v>
      </c>
      <c r="C211" s="26" t="s">
        <v>224</v>
      </c>
      <c r="D211" s="27" t="s">
        <v>3</v>
      </c>
      <c r="E211" s="28" t="s">
        <v>17</v>
      </c>
      <c r="F211" s="28" t="s">
        <v>21</v>
      </c>
      <c r="G211" s="39">
        <v>18.850000000000001</v>
      </c>
      <c r="H211" s="39">
        <v>18.850000000000001</v>
      </c>
      <c r="I211" s="39">
        <v>18.850000000000001</v>
      </c>
      <c r="J211" s="6"/>
    </row>
    <row r="212" spans="1:10" ht="56.25" outlineLevel="2" x14ac:dyDescent="0.3">
      <c r="A212" s="4" t="s">
        <v>454</v>
      </c>
      <c r="B212" s="11" t="s">
        <v>37</v>
      </c>
      <c r="C212" s="23" t="s">
        <v>225</v>
      </c>
      <c r="D212" s="24"/>
      <c r="E212" s="25"/>
      <c r="F212" s="25"/>
      <c r="G212" s="32">
        <f>G213+G214+G215+G216+G217+G218+G219+G220+G221</f>
        <v>54106.508000000009</v>
      </c>
      <c r="H212" s="32">
        <f t="shared" ref="H212:I212" si="60">H213+H214+H215+H216+H217+H218+H219+H220+H221</f>
        <v>45205</v>
      </c>
      <c r="I212" s="32">
        <f t="shared" si="60"/>
        <v>47443.8</v>
      </c>
      <c r="J212" s="6"/>
    </row>
    <row r="213" spans="1:10" ht="131.25" outlineLevel="6" x14ac:dyDescent="0.3">
      <c r="A213" s="3"/>
      <c r="B213" s="10" t="s">
        <v>290</v>
      </c>
      <c r="C213" s="26" t="s">
        <v>226</v>
      </c>
      <c r="D213" s="27" t="s">
        <v>0</v>
      </c>
      <c r="E213" s="28" t="s">
        <v>9</v>
      </c>
      <c r="F213" s="28" t="s">
        <v>11</v>
      </c>
      <c r="G213" s="42">
        <f>306.8+35</f>
        <v>341.8</v>
      </c>
      <c r="H213" s="39">
        <v>319</v>
      </c>
      <c r="I213" s="39">
        <v>331.8</v>
      </c>
      <c r="J213" s="6"/>
    </row>
    <row r="214" spans="1:10" ht="131.25" outlineLevel="6" x14ac:dyDescent="0.3">
      <c r="A214" s="3"/>
      <c r="B214" s="10" t="s">
        <v>290</v>
      </c>
      <c r="C214" s="26" t="s">
        <v>226</v>
      </c>
      <c r="D214" s="27" t="s">
        <v>0</v>
      </c>
      <c r="E214" s="28" t="s">
        <v>9</v>
      </c>
      <c r="F214" s="28" t="s">
        <v>17</v>
      </c>
      <c r="G214" s="42">
        <f>34368.59+5433.228</f>
        <v>39801.817999999999</v>
      </c>
      <c r="H214" s="39">
        <v>35790</v>
      </c>
      <c r="I214" s="39">
        <v>37185</v>
      </c>
      <c r="J214" s="6"/>
    </row>
    <row r="215" spans="1:10" ht="131.25" outlineLevel="6" x14ac:dyDescent="0.3">
      <c r="A215" s="3"/>
      <c r="B215" s="10" t="s">
        <v>290</v>
      </c>
      <c r="C215" s="26" t="s">
        <v>226</v>
      </c>
      <c r="D215" s="27" t="s">
        <v>0</v>
      </c>
      <c r="E215" s="28" t="s">
        <v>9</v>
      </c>
      <c r="F215" s="28" t="s">
        <v>15</v>
      </c>
      <c r="G215" s="42">
        <f>2053+239</f>
        <v>2292</v>
      </c>
      <c r="H215" s="39">
        <v>2137</v>
      </c>
      <c r="I215" s="39">
        <v>2222</v>
      </c>
      <c r="J215" s="6"/>
    </row>
    <row r="216" spans="1:10" ht="131.25" outlineLevel="6" x14ac:dyDescent="0.3">
      <c r="A216" s="3"/>
      <c r="B216" s="10" t="s">
        <v>290</v>
      </c>
      <c r="C216" s="26" t="s">
        <v>226</v>
      </c>
      <c r="D216" s="27" t="s">
        <v>0</v>
      </c>
      <c r="E216" s="28" t="s">
        <v>9</v>
      </c>
      <c r="F216" s="28" t="s">
        <v>16</v>
      </c>
      <c r="G216" s="42">
        <f>3207+363</f>
        <v>3570</v>
      </c>
      <c r="H216" s="39">
        <v>3346</v>
      </c>
      <c r="I216" s="39">
        <v>3477</v>
      </c>
      <c r="J216" s="6"/>
    </row>
    <row r="217" spans="1:10" ht="75" outlineLevel="6" x14ac:dyDescent="0.3">
      <c r="A217" s="3"/>
      <c r="B217" s="10" t="s">
        <v>291</v>
      </c>
      <c r="C217" s="26" t="s">
        <v>226</v>
      </c>
      <c r="D217" s="27" t="s">
        <v>1</v>
      </c>
      <c r="E217" s="28" t="s">
        <v>9</v>
      </c>
      <c r="F217" s="28" t="s">
        <v>17</v>
      </c>
      <c r="G217" s="42">
        <f>5726.41+2000+40</f>
        <v>7766.41</v>
      </c>
      <c r="H217" s="39">
        <v>3305</v>
      </c>
      <c r="I217" s="39">
        <v>3910</v>
      </c>
      <c r="J217" s="6"/>
    </row>
    <row r="218" spans="1:10" ht="75" outlineLevel="6" x14ac:dyDescent="0.3">
      <c r="A218" s="3"/>
      <c r="B218" s="10" t="s">
        <v>291</v>
      </c>
      <c r="C218" s="26" t="s">
        <v>226</v>
      </c>
      <c r="D218" s="27" t="s">
        <v>1</v>
      </c>
      <c r="E218" s="28" t="s">
        <v>9</v>
      </c>
      <c r="F218" s="28" t="s">
        <v>15</v>
      </c>
      <c r="G218" s="39">
        <v>10</v>
      </c>
      <c r="H218" s="39">
        <v>10</v>
      </c>
      <c r="I218" s="39">
        <v>10</v>
      </c>
      <c r="J218" s="6"/>
    </row>
    <row r="219" spans="1:10" ht="75" outlineLevel="6" x14ac:dyDescent="0.3">
      <c r="A219" s="3"/>
      <c r="B219" s="10" t="s">
        <v>291</v>
      </c>
      <c r="C219" s="26" t="s">
        <v>226</v>
      </c>
      <c r="D219" s="27" t="s">
        <v>1</v>
      </c>
      <c r="E219" s="28" t="s">
        <v>9</v>
      </c>
      <c r="F219" s="28" t="s">
        <v>16</v>
      </c>
      <c r="G219" s="42">
        <f>207+2.48</f>
        <v>209.48</v>
      </c>
      <c r="H219" s="39">
        <v>183</v>
      </c>
      <c r="I219" s="39">
        <v>193</v>
      </c>
      <c r="J219" s="6"/>
    </row>
    <row r="220" spans="1:10" ht="56.25" outlineLevel="6" x14ac:dyDescent="0.3">
      <c r="A220" s="3"/>
      <c r="B220" s="10" t="s">
        <v>331</v>
      </c>
      <c r="C220" s="26" t="s">
        <v>226</v>
      </c>
      <c r="D220" s="27" t="s">
        <v>3</v>
      </c>
      <c r="E220" s="28" t="s">
        <v>9</v>
      </c>
      <c r="F220" s="28" t="s">
        <v>17</v>
      </c>
      <c r="G220" s="39">
        <v>115</v>
      </c>
      <c r="H220" s="39">
        <v>115</v>
      </c>
      <c r="I220" s="39">
        <v>115</v>
      </c>
      <c r="J220" s="6"/>
    </row>
    <row r="221" spans="1:10" ht="56.25" outlineLevel="6" x14ac:dyDescent="0.3">
      <c r="A221" s="3"/>
      <c r="B221" s="10" t="s">
        <v>331</v>
      </c>
      <c r="C221" s="26" t="s">
        <v>226</v>
      </c>
      <c r="D221" s="27" t="s">
        <v>3</v>
      </c>
      <c r="E221" s="28" t="s">
        <v>9</v>
      </c>
      <c r="F221" s="28" t="s">
        <v>16</v>
      </c>
      <c r="G221" s="29">
        <v>0</v>
      </c>
      <c r="H221" s="29">
        <v>0</v>
      </c>
      <c r="I221" s="29">
        <v>0</v>
      </c>
      <c r="J221" s="6"/>
    </row>
    <row r="222" spans="1:10" ht="56.25" outlineLevel="2" x14ac:dyDescent="0.3">
      <c r="A222" s="4" t="s">
        <v>455</v>
      </c>
      <c r="B222" s="11" t="s">
        <v>67</v>
      </c>
      <c r="C222" s="23" t="s">
        <v>227</v>
      </c>
      <c r="D222" s="24"/>
      <c r="E222" s="25"/>
      <c r="F222" s="25"/>
      <c r="G222" s="32">
        <f>G223</f>
        <v>4161</v>
      </c>
      <c r="H222" s="32">
        <f t="shared" ref="H222:I222" si="61">H223</f>
        <v>3790</v>
      </c>
      <c r="I222" s="32">
        <f t="shared" si="61"/>
        <v>3790</v>
      </c>
      <c r="J222" s="6"/>
    </row>
    <row r="223" spans="1:10" ht="131.25" outlineLevel="6" x14ac:dyDescent="0.3">
      <c r="A223" s="3"/>
      <c r="B223" s="10" t="s">
        <v>332</v>
      </c>
      <c r="C223" s="26" t="s">
        <v>228</v>
      </c>
      <c r="D223" s="27" t="s">
        <v>0</v>
      </c>
      <c r="E223" s="28" t="s">
        <v>9</v>
      </c>
      <c r="F223" s="28" t="s">
        <v>10</v>
      </c>
      <c r="G223" s="42">
        <f>3790+371</f>
        <v>4161</v>
      </c>
      <c r="H223" s="39">
        <v>3790</v>
      </c>
      <c r="I223" s="39">
        <v>3790</v>
      </c>
      <c r="J223" s="6"/>
    </row>
    <row r="224" spans="1:10" ht="75" outlineLevel="2" x14ac:dyDescent="0.3">
      <c r="A224" s="4" t="s">
        <v>458</v>
      </c>
      <c r="B224" s="11" t="s">
        <v>68</v>
      </c>
      <c r="C224" s="23" t="s">
        <v>229</v>
      </c>
      <c r="D224" s="24"/>
      <c r="E224" s="25"/>
      <c r="F224" s="25"/>
      <c r="G224" s="32">
        <f>G225</f>
        <v>597</v>
      </c>
      <c r="H224" s="32">
        <f t="shared" ref="H224:I224" si="62">H225</f>
        <v>619</v>
      </c>
      <c r="I224" s="32">
        <f t="shared" si="62"/>
        <v>641</v>
      </c>
      <c r="J224" s="6"/>
    </row>
    <row r="225" spans="1:10" ht="187.5" outlineLevel="6" x14ac:dyDescent="0.3">
      <c r="A225" s="3"/>
      <c r="B225" s="10" t="s">
        <v>333</v>
      </c>
      <c r="C225" s="26" t="s">
        <v>377</v>
      </c>
      <c r="D225" s="27" t="s">
        <v>0</v>
      </c>
      <c r="E225" s="28" t="s">
        <v>9</v>
      </c>
      <c r="F225" s="28" t="s">
        <v>16</v>
      </c>
      <c r="G225" s="39">
        <v>597</v>
      </c>
      <c r="H225" s="39">
        <v>619</v>
      </c>
      <c r="I225" s="39">
        <v>641</v>
      </c>
      <c r="J225" s="6"/>
    </row>
    <row r="226" spans="1:10" ht="112.5" outlineLevel="2" x14ac:dyDescent="0.3">
      <c r="A226" s="4" t="s">
        <v>459</v>
      </c>
      <c r="B226" s="11" t="s">
        <v>69</v>
      </c>
      <c r="C226" s="23" t="s">
        <v>230</v>
      </c>
      <c r="D226" s="24"/>
      <c r="E226" s="25"/>
      <c r="F226" s="25"/>
      <c r="G226" s="32">
        <f>G227+G228</f>
        <v>735</v>
      </c>
      <c r="H226" s="32">
        <f t="shared" ref="H226:I226" si="63">H227+H228</f>
        <v>762</v>
      </c>
      <c r="I226" s="32">
        <f t="shared" si="63"/>
        <v>790</v>
      </c>
      <c r="J226" s="6"/>
    </row>
    <row r="227" spans="1:10" ht="187.5" outlineLevel="6" x14ac:dyDescent="0.3">
      <c r="A227" s="3"/>
      <c r="B227" s="10" t="s">
        <v>334</v>
      </c>
      <c r="C227" s="26" t="s">
        <v>231</v>
      </c>
      <c r="D227" s="27" t="s">
        <v>0</v>
      </c>
      <c r="E227" s="28" t="s">
        <v>9</v>
      </c>
      <c r="F227" s="28" t="s">
        <v>16</v>
      </c>
      <c r="G227" s="39">
        <v>715.3</v>
      </c>
      <c r="H227" s="39">
        <v>747.5</v>
      </c>
      <c r="I227" s="39">
        <v>778.6</v>
      </c>
      <c r="J227" s="6"/>
    </row>
    <row r="228" spans="1:10" ht="131.25" outlineLevel="6" x14ac:dyDescent="0.3">
      <c r="A228" s="3"/>
      <c r="B228" s="10" t="s">
        <v>335</v>
      </c>
      <c r="C228" s="26" t="s">
        <v>231</v>
      </c>
      <c r="D228" s="27" t="s">
        <v>1</v>
      </c>
      <c r="E228" s="28" t="s">
        <v>9</v>
      </c>
      <c r="F228" s="28" t="s">
        <v>16</v>
      </c>
      <c r="G228" s="39">
        <v>19.7</v>
      </c>
      <c r="H228" s="39">
        <v>14.5</v>
      </c>
      <c r="I228" s="39">
        <v>11.4</v>
      </c>
      <c r="J228" s="6"/>
    </row>
    <row r="229" spans="1:10" ht="75" outlineLevel="2" x14ac:dyDescent="0.3">
      <c r="A229" s="4" t="s">
        <v>457</v>
      </c>
      <c r="B229" s="11" t="s">
        <v>70</v>
      </c>
      <c r="C229" s="23" t="s">
        <v>232</v>
      </c>
      <c r="D229" s="24"/>
      <c r="E229" s="25"/>
      <c r="F229" s="25"/>
      <c r="G229" s="32">
        <f>G230</f>
        <v>571</v>
      </c>
      <c r="H229" s="32">
        <f t="shared" ref="H229:I229" si="64">H230</f>
        <v>595</v>
      </c>
      <c r="I229" s="32">
        <f t="shared" si="64"/>
        <v>618</v>
      </c>
      <c r="J229" s="6"/>
    </row>
    <row r="230" spans="1:10" ht="150" outlineLevel="6" x14ac:dyDescent="0.3">
      <c r="A230" s="3"/>
      <c r="B230" s="10" t="s">
        <v>336</v>
      </c>
      <c r="C230" s="26" t="s">
        <v>233</v>
      </c>
      <c r="D230" s="27" t="s">
        <v>0</v>
      </c>
      <c r="E230" s="28" t="s">
        <v>9</v>
      </c>
      <c r="F230" s="28" t="s">
        <v>16</v>
      </c>
      <c r="G230" s="39">
        <v>571</v>
      </c>
      <c r="H230" s="39">
        <v>595</v>
      </c>
      <c r="I230" s="39">
        <v>618</v>
      </c>
      <c r="J230" s="6"/>
    </row>
    <row r="231" spans="1:10" ht="37.5" outlineLevel="2" x14ac:dyDescent="0.3">
      <c r="A231" s="4" t="s">
        <v>456</v>
      </c>
      <c r="B231" s="11" t="s">
        <v>71</v>
      </c>
      <c r="C231" s="23" t="s">
        <v>234</v>
      </c>
      <c r="D231" s="24"/>
      <c r="E231" s="25"/>
      <c r="F231" s="25"/>
      <c r="G231" s="32">
        <f>G232</f>
        <v>20286</v>
      </c>
      <c r="H231" s="32">
        <f t="shared" ref="H231:I231" si="65">H232</f>
        <v>14710.545150000002</v>
      </c>
      <c r="I231" s="32">
        <f t="shared" si="65"/>
        <v>20777.528480000001</v>
      </c>
      <c r="J231" s="6"/>
    </row>
    <row r="232" spans="1:10" ht="75" outlineLevel="6" x14ac:dyDescent="0.3">
      <c r="A232" s="3"/>
      <c r="B232" s="10" t="s">
        <v>337</v>
      </c>
      <c r="C232" s="26" t="s">
        <v>235</v>
      </c>
      <c r="D232" s="27" t="s">
        <v>5</v>
      </c>
      <c r="E232" s="28" t="s">
        <v>14</v>
      </c>
      <c r="F232" s="28" t="s">
        <v>17</v>
      </c>
      <c r="G232" s="42">
        <f>14286+6000</f>
        <v>20286</v>
      </c>
      <c r="H232" s="42">
        <f>20710.54515-6000</f>
        <v>14710.545150000002</v>
      </c>
      <c r="I232" s="42">
        <f>14777.52848+6000</f>
        <v>20777.528480000001</v>
      </c>
      <c r="J232" s="6"/>
    </row>
    <row r="233" spans="1:10" ht="56.25" outlineLevel="2" x14ac:dyDescent="0.3">
      <c r="A233" s="4" t="s">
        <v>460</v>
      </c>
      <c r="B233" s="11" t="s">
        <v>72</v>
      </c>
      <c r="C233" s="23" t="s">
        <v>236</v>
      </c>
      <c r="D233" s="24"/>
      <c r="E233" s="25"/>
      <c r="F233" s="25"/>
      <c r="G233" s="32">
        <f>G234</f>
        <v>7874.25</v>
      </c>
      <c r="H233" s="32">
        <f t="shared" ref="H233:I233" si="66">H234</f>
        <v>8228.5910000000003</v>
      </c>
      <c r="I233" s="32">
        <f t="shared" si="66"/>
        <v>8557.7350000000006</v>
      </c>
      <c r="J233" s="6"/>
    </row>
    <row r="234" spans="1:10" ht="56.25" outlineLevel="6" x14ac:dyDescent="0.3">
      <c r="A234" s="3"/>
      <c r="B234" s="10" t="s">
        <v>338</v>
      </c>
      <c r="C234" s="26" t="s">
        <v>237</v>
      </c>
      <c r="D234" s="27" t="s">
        <v>5</v>
      </c>
      <c r="E234" s="28" t="s">
        <v>14</v>
      </c>
      <c r="F234" s="28" t="s">
        <v>9</v>
      </c>
      <c r="G234" s="39">
        <v>7874.25</v>
      </c>
      <c r="H234" s="39">
        <v>8228.5910000000003</v>
      </c>
      <c r="I234" s="39">
        <v>8557.7350000000006</v>
      </c>
      <c r="J234" s="6"/>
    </row>
    <row r="235" spans="1:10" ht="56.25" outlineLevel="2" x14ac:dyDescent="0.3">
      <c r="A235" s="4" t="s">
        <v>461</v>
      </c>
      <c r="B235" s="11" t="s">
        <v>73</v>
      </c>
      <c r="C235" s="23" t="s">
        <v>238</v>
      </c>
      <c r="D235" s="24"/>
      <c r="E235" s="25"/>
      <c r="F235" s="25"/>
      <c r="G235" s="32">
        <f>G236</f>
        <v>8352.5499999999993</v>
      </c>
      <c r="H235" s="32">
        <f t="shared" ref="H235:I235" si="67">H236</f>
        <v>1098.2090000000001</v>
      </c>
      <c r="I235" s="32">
        <f t="shared" si="67"/>
        <v>769.06500000000005</v>
      </c>
      <c r="J235" s="6"/>
    </row>
    <row r="236" spans="1:10" ht="56.25" outlineLevel="6" x14ac:dyDescent="0.3">
      <c r="A236" s="3"/>
      <c r="B236" s="10" t="s">
        <v>339</v>
      </c>
      <c r="C236" s="26" t="s">
        <v>239</v>
      </c>
      <c r="D236" s="27" t="s">
        <v>5</v>
      </c>
      <c r="E236" s="28" t="s">
        <v>14</v>
      </c>
      <c r="F236" s="28" t="s">
        <v>11</v>
      </c>
      <c r="G236" s="42">
        <f>1431.55+21+400+6500</f>
        <v>8352.5499999999993</v>
      </c>
      <c r="H236" s="42">
        <f>1077.209+21</f>
        <v>1098.2090000000001</v>
      </c>
      <c r="I236" s="42">
        <f>748.065+21</f>
        <v>769.06500000000005</v>
      </c>
      <c r="J236" s="6"/>
    </row>
    <row r="237" spans="1:10" ht="37.5" outlineLevel="2" x14ac:dyDescent="0.3">
      <c r="A237" s="4" t="s">
        <v>462</v>
      </c>
      <c r="B237" s="11" t="s">
        <v>74</v>
      </c>
      <c r="C237" s="23" t="s">
        <v>240</v>
      </c>
      <c r="D237" s="24"/>
      <c r="E237" s="25"/>
      <c r="F237" s="25"/>
      <c r="G237" s="32">
        <f>G239+G238</f>
        <v>3050</v>
      </c>
      <c r="H237" s="32">
        <f t="shared" ref="H237:I237" si="68">H239</f>
        <v>0</v>
      </c>
      <c r="I237" s="32">
        <f t="shared" si="68"/>
        <v>3000</v>
      </c>
      <c r="J237" s="6"/>
    </row>
    <row r="238" spans="1:10" ht="131.25" outlineLevel="6" x14ac:dyDescent="0.3">
      <c r="A238" s="3"/>
      <c r="B238" s="20" t="s">
        <v>486</v>
      </c>
      <c r="C238" s="38" t="s">
        <v>521</v>
      </c>
      <c r="D238" s="27" t="s">
        <v>2</v>
      </c>
      <c r="E238" s="28" t="s">
        <v>14</v>
      </c>
      <c r="F238" s="28" t="s">
        <v>15</v>
      </c>
      <c r="G238" s="42">
        <v>50</v>
      </c>
      <c r="H238" s="42">
        <v>0</v>
      </c>
      <c r="I238" s="42">
        <v>0</v>
      </c>
      <c r="J238" s="6"/>
    </row>
    <row r="239" spans="1:10" ht="75" outlineLevel="6" x14ac:dyDescent="0.3">
      <c r="A239" s="3"/>
      <c r="B239" s="10" t="s">
        <v>340</v>
      </c>
      <c r="C239" s="26" t="s">
        <v>241</v>
      </c>
      <c r="D239" s="27" t="s">
        <v>2</v>
      </c>
      <c r="E239" s="28" t="s">
        <v>14</v>
      </c>
      <c r="F239" s="28" t="s">
        <v>15</v>
      </c>
      <c r="G239" s="42">
        <v>3000</v>
      </c>
      <c r="H239" s="42">
        <f>3000-3000</f>
        <v>0</v>
      </c>
      <c r="I239" s="42">
        <v>3000</v>
      </c>
      <c r="J239" s="6"/>
    </row>
    <row r="240" spans="1:10" ht="37.5" outlineLevel="6" x14ac:dyDescent="0.3">
      <c r="A240" s="4" t="s">
        <v>463</v>
      </c>
      <c r="B240" s="21" t="s">
        <v>61</v>
      </c>
      <c r="C240" s="23" t="s">
        <v>378</v>
      </c>
      <c r="D240" s="24"/>
      <c r="E240" s="25"/>
      <c r="F240" s="25"/>
      <c r="G240" s="36">
        <f>G243+G241+G244+G242</f>
        <v>1635.74378</v>
      </c>
      <c r="H240" s="36">
        <f t="shared" ref="H240:I240" si="69">H243+H241+H244+H242</f>
        <v>25500</v>
      </c>
      <c r="I240" s="36">
        <f t="shared" si="69"/>
        <v>0</v>
      </c>
      <c r="J240" s="6"/>
    </row>
    <row r="241" spans="1:10" ht="131.25" outlineLevel="6" x14ac:dyDescent="0.3">
      <c r="A241" s="3"/>
      <c r="B241" s="20" t="s">
        <v>488</v>
      </c>
      <c r="C241" s="38" t="s">
        <v>518</v>
      </c>
      <c r="D241" s="27">
        <v>200</v>
      </c>
      <c r="E241" s="28" t="s">
        <v>11</v>
      </c>
      <c r="F241" s="28" t="s">
        <v>14</v>
      </c>
      <c r="G241" s="42">
        <v>62.3</v>
      </c>
      <c r="H241" s="39">
        <v>0</v>
      </c>
      <c r="I241" s="39">
        <v>0</v>
      </c>
      <c r="J241" s="6"/>
    </row>
    <row r="242" spans="1:10" ht="37.5" outlineLevel="6" x14ac:dyDescent="0.3">
      <c r="A242" s="3"/>
      <c r="B242" s="20" t="s">
        <v>520</v>
      </c>
      <c r="C242" s="38" t="s">
        <v>379</v>
      </c>
      <c r="D242" s="27">
        <v>800</v>
      </c>
      <c r="E242" s="38" t="s">
        <v>9</v>
      </c>
      <c r="F242" s="38" t="s">
        <v>16</v>
      </c>
      <c r="G242" s="42">
        <v>73.443780000000004</v>
      </c>
      <c r="H242" s="42">
        <v>0</v>
      </c>
      <c r="I242" s="42">
        <v>0</v>
      </c>
      <c r="J242" s="6"/>
    </row>
    <row r="243" spans="1:10" ht="75" outlineLevel="6" x14ac:dyDescent="0.3">
      <c r="A243" s="3"/>
      <c r="B243" s="19" t="s">
        <v>380</v>
      </c>
      <c r="C243" s="26" t="s">
        <v>379</v>
      </c>
      <c r="D243" s="27">
        <v>200</v>
      </c>
      <c r="E243" s="28" t="s">
        <v>11</v>
      </c>
      <c r="F243" s="28" t="s">
        <v>14</v>
      </c>
      <c r="G243" s="39">
        <v>1000</v>
      </c>
      <c r="H243" s="39">
        <v>0</v>
      </c>
      <c r="I243" s="39">
        <v>0</v>
      </c>
      <c r="J243" s="6"/>
    </row>
    <row r="244" spans="1:10" ht="75" outlineLevel="6" x14ac:dyDescent="0.3">
      <c r="A244" s="3"/>
      <c r="B244" s="20" t="s">
        <v>380</v>
      </c>
      <c r="C244" s="38" t="s">
        <v>379</v>
      </c>
      <c r="D244" s="27">
        <v>200</v>
      </c>
      <c r="E244" s="28" t="s">
        <v>8</v>
      </c>
      <c r="F244" s="28" t="s">
        <v>12</v>
      </c>
      <c r="G244" s="42">
        <v>500</v>
      </c>
      <c r="H244" s="42">
        <v>25500</v>
      </c>
      <c r="I244" s="42">
        <v>0</v>
      </c>
      <c r="J244" s="6"/>
    </row>
    <row r="245" spans="1:10" ht="37.5" outlineLevel="2" x14ac:dyDescent="0.3">
      <c r="A245" s="4" t="s">
        <v>464</v>
      </c>
      <c r="B245" s="11" t="s">
        <v>75</v>
      </c>
      <c r="C245" s="23" t="s">
        <v>242</v>
      </c>
      <c r="D245" s="24"/>
      <c r="E245" s="25"/>
      <c r="F245" s="25"/>
      <c r="G245" s="32">
        <f>G246</f>
        <v>66.7</v>
      </c>
      <c r="H245" s="32">
        <f t="shared" ref="H245:I245" si="70">H246</f>
        <v>66.7</v>
      </c>
      <c r="I245" s="32">
        <f t="shared" si="70"/>
        <v>66.7</v>
      </c>
      <c r="J245" s="6"/>
    </row>
    <row r="246" spans="1:10" ht="56.25" outlineLevel="6" x14ac:dyDescent="0.3">
      <c r="A246" s="3"/>
      <c r="B246" s="10" t="s">
        <v>341</v>
      </c>
      <c r="C246" s="26" t="s">
        <v>243</v>
      </c>
      <c r="D246" s="27" t="s">
        <v>5</v>
      </c>
      <c r="E246" s="28" t="s">
        <v>14</v>
      </c>
      <c r="F246" s="28" t="s">
        <v>11</v>
      </c>
      <c r="G246" s="39">
        <v>66.7</v>
      </c>
      <c r="H246" s="39">
        <v>66.7</v>
      </c>
      <c r="I246" s="39">
        <v>66.7</v>
      </c>
      <c r="J246" s="6"/>
    </row>
    <row r="247" spans="1:10" ht="37.5" outlineLevel="2" x14ac:dyDescent="0.3">
      <c r="A247" s="4" t="s">
        <v>465</v>
      </c>
      <c r="B247" s="11" t="s">
        <v>76</v>
      </c>
      <c r="C247" s="23" t="s">
        <v>244</v>
      </c>
      <c r="D247" s="24"/>
      <c r="E247" s="25"/>
      <c r="F247" s="25"/>
      <c r="G247" s="32">
        <f>G249+G248</f>
        <v>1908</v>
      </c>
      <c r="H247" s="32">
        <f t="shared" ref="H247:I247" si="71">H249+H248</f>
        <v>119</v>
      </c>
      <c r="I247" s="32">
        <f t="shared" si="71"/>
        <v>119</v>
      </c>
      <c r="J247" s="6"/>
    </row>
    <row r="248" spans="1:10" ht="131.25" outlineLevel="6" x14ac:dyDescent="0.3">
      <c r="A248" s="3"/>
      <c r="B248" s="20" t="s">
        <v>519</v>
      </c>
      <c r="C248" s="26" t="s">
        <v>245</v>
      </c>
      <c r="D248" s="27">
        <v>100</v>
      </c>
      <c r="E248" s="28" t="s">
        <v>17</v>
      </c>
      <c r="F248" s="28" t="s">
        <v>20</v>
      </c>
      <c r="G248" s="42">
        <f>1542.35+119+32.565</f>
        <v>1693.915</v>
      </c>
      <c r="H248" s="42">
        <v>0</v>
      </c>
      <c r="I248" s="42">
        <v>0</v>
      </c>
      <c r="J248" s="6"/>
    </row>
    <row r="249" spans="1:10" ht="75" outlineLevel="6" x14ac:dyDescent="0.3">
      <c r="A249" s="3"/>
      <c r="B249" s="10" t="s">
        <v>342</v>
      </c>
      <c r="C249" s="26" t="s">
        <v>245</v>
      </c>
      <c r="D249" s="27" t="s">
        <v>1</v>
      </c>
      <c r="E249" s="28" t="s">
        <v>17</v>
      </c>
      <c r="F249" s="28" t="s">
        <v>20</v>
      </c>
      <c r="G249" s="42">
        <f>365.65-32.565-119</f>
        <v>214.08499999999998</v>
      </c>
      <c r="H249" s="42">
        <v>119</v>
      </c>
      <c r="I249" s="42">
        <v>119</v>
      </c>
      <c r="J249" s="6"/>
    </row>
    <row r="250" spans="1:10" ht="37.5" outlineLevel="2" x14ac:dyDescent="0.3">
      <c r="A250" s="4" t="s">
        <v>466</v>
      </c>
      <c r="B250" s="11" t="s">
        <v>77</v>
      </c>
      <c r="C250" s="23" t="s">
        <v>246</v>
      </c>
      <c r="D250" s="24"/>
      <c r="E250" s="25"/>
      <c r="F250" s="25"/>
      <c r="G250" s="32">
        <f>G251</f>
        <v>536.79999999999995</v>
      </c>
      <c r="H250" s="32">
        <f t="shared" ref="H250:I250" si="72">H251</f>
        <v>190.1</v>
      </c>
      <c r="I250" s="32">
        <f t="shared" si="72"/>
        <v>135.1</v>
      </c>
      <c r="J250" s="6"/>
    </row>
    <row r="251" spans="1:10" ht="93.75" outlineLevel="6" x14ac:dyDescent="0.3">
      <c r="A251" s="3"/>
      <c r="B251" s="10" t="s">
        <v>343</v>
      </c>
      <c r="C251" s="26" t="s">
        <v>247</v>
      </c>
      <c r="D251" s="27" t="s">
        <v>1</v>
      </c>
      <c r="E251" s="28" t="s">
        <v>17</v>
      </c>
      <c r="F251" s="28" t="s">
        <v>21</v>
      </c>
      <c r="G251" s="39">
        <v>536.79999999999995</v>
      </c>
      <c r="H251" s="39">
        <v>190.1</v>
      </c>
      <c r="I251" s="39">
        <v>135.1</v>
      </c>
      <c r="J251" s="6"/>
    </row>
    <row r="252" spans="1:10" ht="75" outlineLevel="6" x14ac:dyDescent="0.3">
      <c r="A252" s="4" t="s">
        <v>467</v>
      </c>
      <c r="B252" s="46" t="s">
        <v>522</v>
      </c>
      <c r="C252" s="45" t="s">
        <v>523</v>
      </c>
      <c r="D252" s="24"/>
      <c r="E252" s="25"/>
      <c r="F252" s="25"/>
      <c r="G252" s="43">
        <f>G253</f>
        <v>274</v>
      </c>
      <c r="H252" s="43">
        <f t="shared" ref="H252:I252" si="73">H253</f>
        <v>0</v>
      </c>
      <c r="I252" s="43">
        <f t="shared" si="73"/>
        <v>0</v>
      </c>
      <c r="J252" s="6"/>
    </row>
    <row r="253" spans="1:10" ht="75" outlineLevel="6" x14ac:dyDescent="0.3">
      <c r="A253" s="3"/>
      <c r="B253" s="20" t="s">
        <v>524</v>
      </c>
      <c r="C253" s="38" t="s">
        <v>525</v>
      </c>
      <c r="D253" s="27">
        <v>200</v>
      </c>
      <c r="E253" s="38" t="s">
        <v>11</v>
      </c>
      <c r="F253" s="38" t="s">
        <v>14</v>
      </c>
      <c r="G253" s="42">
        <v>274</v>
      </c>
      <c r="H253" s="42">
        <v>0</v>
      </c>
      <c r="I253" s="42">
        <v>0</v>
      </c>
      <c r="J253" s="6"/>
    </row>
    <row r="254" spans="1:10" ht="75" outlineLevel="2" x14ac:dyDescent="0.3">
      <c r="A254" s="4" t="s">
        <v>468</v>
      </c>
      <c r="B254" s="11" t="s">
        <v>78</v>
      </c>
      <c r="C254" s="23" t="s">
        <v>248</v>
      </c>
      <c r="D254" s="24"/>
      <c r="E254" s="25"/>
      <c r="F254" s="25"/>
      <c r="G254" s="32">
        <f>G255+G256</f>
        <v>31628.552</v>
      </c>
      <c r="H254" s="32">
        <f t="shared" ref="H254:I254" si="74">H255+H256</f>
        <v>14267.4</v>
      </c>
      <c r="I254" s="32">
        <f t="shared" si="74"/>
        <v>21138.2</v>
      </c>
      <c r="J254" s="6"/>
    </row>
    <row r="255" spans="1:10" ht="168.75" outlineLevel="6" x14ac:dyDescent="0.3">
      <c r="A255" s="3"/>
      <c r="B255" s="10" t="s">
        <v>344</v>
      </c>
      <c r="C255" s="26" t="s">
        <v>249</v>
      </c>
      <c r="D255" s="27" t="s">
        <v>1</v>
      </c>
      <c r="E255" s="28" t="s">
        <v>17</v>
      </c>
      <c r="F255" s="28" t="s">
        <v>19</v>
      </c>
      <c r="G255" s="42">
        <f>5813.67919+11800</f>
        <v>17613.679189999999</v>
      </c>
      <c r="H255" s="42">
        <f>6058-6058</f>
        <v>0</v>
      </c>
      <c r="I255" s="42">
        <v>6300</v>
      </c>
      <c r="J255" s="6"/>
    </row>
    <row r="256" spans="1:10" ht="131.25" outlineLevel="6" x14ac:dyDescent="0.3">
      <c r="A256" s="3"/>
      <c r="B256" s="10" t="s">
        <v>345</v>
      </c>
      <c r="C256" s="26" t="s">
        <v>250</v>
      </c>
      <c r="D256" s="27" t="s">
        <v>1</v>
      </c>
      <c r="E256" s="28" t="s">
        <v>17</v>
      </c>
      <c r="F256" s="28" t="s">
        <v>19</v>
      </c>
      <c r="G256" s="42">
        <v>14014.872810000001</v>
      </c>
      <c r="H256" s="42">
        <v>14267.4</v>
      </c>
      <c r="I256" s="42">
        <v>14838.2</v>
      </c>
      <c r="J256" s="6"/>
    </row>
    <row r="257" spans="1:10" ht="75" outlineLevel="2" x14ac:dyDescent="0.3">
      <c r="A257" s="4" t="s">
        <v>534</v>
      </c>
      <c r="B257" s="11" t="s">
        <v>79</v>
      </c>
      <c r="C257" s="23" t="s">
        <v>251</v>
      </c>
      <c r="D257" s="24"/>
      <c r="E257" s="25"/>
      <c r="F257" s="25"/>
      <c r="G257" s="32">
        <f>G258</f>
        <v>807.84</v>
      </c>
      <c r="H257" s="32">
        <f t="shared" ref="H257:I257" si="75">H258</f>
        <v>673.2</v>
      </c>
      <c r="I257" s="32">
        <f t="shared" si="75"/>
        <v>673.2</v>
      </c>
      <c r="J257" s="6"/>
    </row>
    <row r="258" spans="1:10" ht="93.75" outlineLevel="6" x14ac:dyDescent="0.3">
      <c r="A258" s="3"/>
      <c r="B258" s="10" t="s">
        <v>346</v>
      </c>
      <c r="C258" s="26" t="s">
        <v>252</v>
      </c>
      <c r="D258" s="27" t="s">
        <v>5</v>
      </c>
      <c r="E258" s="28" t="s">
        <v>14</v>
      </c>
      <c r="F258" s="28" t="s">
        <v>11</v>
      </c>
      <c r="G258" s="42">
        <f>673.2+134.64</f>
        <v>807.84</v>
      </c>
      <c r="H258" s="42">
        <v>673.2</v>
      </c>
      <c r="I258" s="42">
        <v>673.2</v>
      </c>
      <c r="J258" s="6"/>
    </row>
    <row r="259" spans="1:10" ht="75" outlineLevel="1" x14ac:dyDescent="0.3">
      <c r="A259" s="4" t="s">
        <v>469</v>
      </c>
      <c r="B259" s="11" t="s">
        <v>80</v>
      </c>
      <c r="C259" s="23" t="s">
        <v>253</v>
      </c>
      <c r="D259" s="24"/>
      <c r="E259" s="25"/>
      <c r="F259" s="25"/>
      <c r="G259" s="32">
        <f>G260+G263+G265</f>
        <v>2817.9486900000002</v>
      </c>
      <c r="H259" s="32">
        <f t="shared" ref="H259:I259" si="76">H260+H263+H265</f>
        <v>9989.6939999999995</v>
      </c>
      <c r="I259" s="32">
        <f t="shared" si="76"/>
        <v>10039.694</v>
      </c>
      <c r="J259" s="6"/>
    </row>
    <row r="260" spans="1:10" ht="93.75" outlineLevel="1" x14ac:dyDescent="0.3">
      <c r="A260" s="4" t="s">
        <v>482</v>
      </c>
      <c r="B260" s="21" t="s">
        <v>382</v>
      </c>
      <c r="C260" s="22" t="s">
        <v>381</v>
      </c>
      <c r="D260" s="24"/>
      <c r="E260" s="25"/>
      <c r="F260" s="25"/>
      <c r="G260" s="36">
        <f>G261+G262</f>
        <v>0</v>
      </c>
      <c r="H260" s="36">
        <f t="shared" ref="H260:I260" si="77">H261+H262</f>
        <v>3898.2</v>
      </c>
      <c r="I260" s="36">
        <f t="shared" si="77"/>
        <v>3898.2</v>
      </c>
      <c r="J260" s="6"/>
    </row>
    <row r="261" spans="1:10" ht="150" outlineLevel="1" x14ac:dyDescent="0.3">
      <c r="A261" s="4"/>
      <c r="B261" s="19" t="s">
        <v>383</v>
      </c>
      <c r="C261" s="18" t="s">
        <v>384</v>
      </c>
      <c r="D261" s="27">
        <v>200</v>
      </c>
      <c r="E261" s="28" t="s">
        <v>21</v>
      </c>
      <c r="F261" s="28" t="s">
        <v>10</v>
      </c>
      <c r="G261" s="39">
        <v>0</v>
      </c>
      <c r="H261" s="39">
        <v>3898.2</v>
      </c>
      <c r="I261" s="39">
        <v>3898.2</v>
      </c>
      <c r="J261" s="6"/>
    </row>
    <row r="262" spans="1:10" ht="75" outlineLevel="1" x14ac:dyDescent="0.3">
      <c r="A262" s="4"/>
      <c r="B262" s="19" t="s">
        <v>394</v>
      </c>
      <c r="C262" s="18" t="s">
        <v>395</v>
      </c>
      <c r="D262" s="27">
        <v>200</v>
      </c>
      <c r="E262" s="28" t="s">
        <v>21</v>
      </c>
      <c r="F262" s="28" t="s">
        <v>11</v>
      </c>
      <c r="G262" s="39">
        <v>0</v>
      </c>
      <c r="H262" s="39">
        <v>0</v>
      </c>
      <c r="I262" s="39">
        <v>0</v>
      </c>
      <c r="J262" s="6"/>
    </row>
    <row r="263" spans="1:10" ht="56.25" outlineLevel="2" x14ac:dyDescent="0.3">
      <c r="A263" s="4" t="s">
        <v>470</v>
      </c>
      <c r="B263" s="11" t="s">
        <v>81</v>
      </c>
      <c r="C263" s="23" t="s">
        <v>254</v>
      </c>
      <c r="D263" s="24"/>
      <c r="E263" s="25"/>
      <c r="F263" s="25"/>
      <c r="G263" s="32">
        <f>G264</f>
        <v>2817.9486900000002</v>
      </c>
      <c r="H263" s="32">
        <f t="shared" ref="H263:I263" si="78">H264</f>
        <v>3681.4940000000001</v>
      </c>
      <c r="I263" s="32">
        <f t="shared" si="78"/>
        <v>3681.4940000000001</v>
      </c>
      <c r="J263" s="6"/>
    </row>
    <row r="264" spans="1:10" ht="75" outlineLevel="6" x14ac:dyDescent="0.3">
      <c r="A264" s="3"/>
      <c r="B264" s="10" t="s">
        <v>347</v>
      </c>
      <c r="C264" s="26" t="s">
        <v>255</v>
      </c>
      <c r="D264" s="27" t="s">
        <v>1</v>
      </c>
      <c r="E264" s="28" t="s">
        <v>21</v>
      </c>
      <c r="F264" s="28" t="s">
        <v>11</v>
      </c>
      <c r="G264" s="42">
        <v>2817.9486900000002</v>
      </c>
      <c r="H264" s="39">
        <v>3681.4940000000001</v>
      </c>
      <c r="I264" s="39">
        <v>3681.4940000000001</v>
      </c>
      <c r="J264" s="6"/>
    </row>
    <row r="265" spans="1:10" ht="56.25" outlineLevel="6" x14ac:dyDescent="0.3">
      <c r="A265" s="4" t="s">
        <v>471</v>
      </c>
      <c r="B265" s="21" t="s">
        <v>386</v>
      </c>
      <c r="C265" s="23" t="s">
        <v>385</v>
      </c>
      <c r="D265" s="24"/>
      <c r="E265" s="25"/>
      <c r="F265" s="25"/>
      <c r="G265" s="36">
        <f>G266</f>
        <v>0</v>
      </c>
      <c r="H265" s="36">
        <f>H266</f>
        <v>2410</v>
      </c>
      <c r="I265" s="36">
        <f>I266</f>
        <v>2460</v>
      </c>
      <c r="J265" s="6"/>
    </row>
    <row r="266" spans="1:10" ht="75" outlineLevel="6" x14ac:dyDescent="0.3">
      <c r="A266" s="3"/>
      <c r="B266" s="19" t="s">
        <v>380</v>
      </c>
      <c r="C266" s="18" t="s">
        <v>387</v>
      </c>
      <c r="D266" s="27">
        <v>200</v>
      </c>
      <c r="E266" s="28" t="s">
        <v>21</v>
      </c>
      <c r="F266" s="28" t="s">
        <v>11</v>
      </c>
      <c r="G266" s="29">
        <v>0</v>
      </c>
      <c r="H266" s="29">
        <v>2410</v>
      </c>
      <c r="I266" s="29">
        <v>2460</v>
      </c>
      <c r="J266" s="6"/>
    </row>
    <row r="267" spans="1:10" ht="56.25" x14ac:dyDescent="0.3">
      <c r="A267" s="4" t="s">
        <v>128</v>
      </c>
      <c r="B267" s="11" t="s">
        <v>413</v>
      </c>
      <c r="C267" s="23" t="s">
        <v>256</v>
      </c>
      <c r="D267" s="24"/>
      <c r="E267" s="25"/>
      <c r="F267" s="25"/>
      <c r="G267" s="32">
        <f>G268</f>
        <v>7584.3423699999994</v>
      </c>
      <c r="H267" s="32">
        <f t="shared" ref="H267:I267" si="79">H268</f>
        <v>6237.65</v>
      </c>
      <c r="I267" s="32">
        <f t="shared" si="79"/>
        <v>6479.65</v>
      </c>
      <c r="J267" s="6"/>
    </row>
    <row r="268" spans="1:10" ht="56.25" outlineLevel="2" x14ac:dyDescent="0.3">
      <c r="A268" s="4" t="s">
        <v>129</v>
      </c>
      <c r="B268" s="11" t="s">
        <v>82</v>
      </c>
      <c r="C268" s="23" t="s">
        <v>257</v>
      </c>
      <c r="D268" s="24"/>
      <c r="E268" s="25"/>
      <c r="F268" s="25"/>
      <c r="G268" s="32">
        <f>G270+G269</f>
        <v>7584.3423699999994</v>
      </c>
      <c r="H268" s="32">
        <f t="shared" ref="H268:I268" si="80">H270+H269</f>
        <v>6237.65</v>
      </c>
      <c r="I268" s="32">
        <f t="shared" si="80"/>
        <v>6479.65</v>
      </c>
      <c r="J268" s="6"/>
    </row>
    <row r="269" spans="1:10" ht="93.75" outlineLevel="6" x14ac:dyDescent="0.3">
      <c r="A269" s="3"/>
      <c r="B269" s="20" t="s">
        <v>501</v>
      </c>
      <c r="C269" s="26" t="s">
        <v>258</v>
      </c>
      <c r="D269" s="27">
        <v>200</v>
      </c>
      <c r="E269" s="28" t="s">
        <v>17</v>
      </c>
      <c r="F269" s="28" t="s">
        <v>20</v>
      </c>
      <c r="G269" s="42">
        <v>179.65</v>
      </c>
      <c r="H269" s="42">
        <v>179.65</v>
      </c>
      <c r="I269" s="42">
        <v>179.65</v>
      </c>
      <c r="J269" s="6"/>
    </row>
    <row r="270" spans="1:10" ht="56.25" outlineLevel="6" x14ac:dyDescent="0.3">
      <c r="A270" s="3"/>
      <c r="B270" s="10" t="s">
        <v>348</v>
      </c>
      <c r="C270" s="26" t="s">
        <v>258</v>
      </c>
      <c r="D270" s="27" t="s">
        <v>3</v>
      </c>
      <c r="E270" s="28" t="s">
        <v>17</v>
      </c>
      <c r="F270" s="28" t="s">
        <v>20</v>
      </c>
      <c r="G270" s="42">
        <f>5832.72125+1571.97112</f>
        <v>7404.6923699999998</v>
      </c>
      <c r="H270" s="42">
        <f>6058+179.65-179.65</f>
        <v>6058</v>
      </c>
      <c r="I270" s="42">
        <f>6300+179.65-179.65</f>
        <v>6300</v>
      </c>
      <c r="J270" s="6"/>
    </row>
  </sheetData>
  <autoFilter ref="A19:I270"/>
  <mergeCells count="6">
    <mergeCell ref="A17:I17"/>
    <mergeCell ref="A16:I16"/>
    <mergeCell ref="B7:D7"/>
    <mergeCell ref="A13:I13"/>
    <mergeCell ref="A14:I14"/>
    <mergeCell ref="A15:I15"/>
  </mergeCells>
  <pageMargins left="0.78740157480314965" right="0.59055118110236227" top="0.59055118110236227" bottom="0.59055118110236227" header="0.39370078740157483" footer="0.51181102362204722"/>
  <pageSetup paperSize="9" scale="54" fitToHeight="0" orientation="portrait" blackAndWhite="1" r:id="rId1"/>
  <headerFooter differentFirst="1">
    <oddHeader>&amp;C&amp;P</oddHeader>
  </headerFooter>
  <rowBreaks count="1" manualBreakCount="1">
    <brk id="133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5.01.2023&lt;/string&gt;&#10;  &lt;/DateInfo&gt;&#10;  &lt;Code&gt;SQUERY_ROSP_EXP&lt;/Code&gt;&#10;  &lt;ObjectCode&gt;SQUERY_ROSP_EXP&lt;/ObjectCode&gt;&#10;  &lt;DocName&gt;Муниципальные программы(Бюджетная роспись (расходы))&lt;/DocName&gt;&#10;  &lt;VariantName&gt;Муниципальные программы&lt;/VariantName&gt;&#10;  &lt;VariantLink&gt;60681577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86C2B21-FE06-4D16-B82A-07FAF1474F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решение</vt:lpstr>
      <vt:lpstr>решение!Заголовки_для_печати</vt:lpstr>
      <vt:lpstr>решение!Область_печати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Тюленева</dc:creator>
  <cp:lastModifiedBy>Юлия Тюленева</cp:lastModifiedBy>
  <cp:lastPrinted>2025-04-24T12:06:22Z</cp:lastPrinted>
  <dcterms:created xsi:type="dcterms:W3CDTF">2023-01-25T05:32:54Z</dcterms:created>
  <dcterms:modified xsi:type="dcterms:W3CDTF">2025-06-05T07:22:04Z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Муниципальные программы(Бюджетная роспись (расходы))</vt:lpwstr>
  </property>
  <property fmtid="{D5CDD505-2E9C-101B-9397-08002B2CF9AE}" pid="3" name="Название отчета">
    <vt:lpwstr>Муниципальные программы.xlsx</vt:lpwstr>
  </property>
  <property fmtid="{D5CDD505-2E9C-101B-9397-08002B2CF9AE}" pid="4" name="Версия клиента">
    <vt:lpwstr>22.1.43.1170 (.NET 4.7.2)</vt:lpwstr>
  </property>
  <property fmtid="{D5CDD505-2E9C-101B-9397-08002B2CF9AE}" pid="5" name="Версия базы">
    <vt:lpwstr>22.1.1542.475173581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kasibr_2023</vt:lpwstr>
  </property>
  <property fmtid="{D5CDD505-2E9C-101B-9397-08002B2CF9AE}" pid="9" name="Пользователь">
    <vt:lpwstr>3602_тюленеваюс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